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9065" windowHeight="12000" activeTab="8"/>
  </bookViews>
  <sheets>
    <sheet name="стр.1" sheetId="1" r:id="rId1"/>
    <sheet name="стр.2" sheetId="2" r:id="rId2"/>
    <sheet name="стр.3" sheetId="3" r:id="rId3"/>
    <sheet name="2018" sheetId="4" r:id="rId4"/>
    <sheet name="2019" sheetId="5" r:id="rId5"/>
    <sheet name="2020" sheetId="6" r:id="rId6"/>
    <sheet name="стр.5" sheetId="7" r:id="rId7"/>
    <sheet name="стр.6" sheetId="8" r:id="rId8"/>
    <sheet name="стр.7" sheetId="9" r:id="rId9"/>
    <sheet name="Прил. обоснование ФОТ" sheetId="10" r:id="rId10"/>
    <sheet name="Прил. обоснование услуги" sheetId="11" r:id="rId11"/>
    <sheet name="Прил. обоснование услуги (2)" sheetId="12" r:id="rId12"/>
    <sheet name="Прил.обоснование по внебюджету" sheetId="13" r:id="rId13"/>
  </sheets>
  <definedNames>
    <definedName name="Z_3E961FAA_52F2_436C_978F_6671C0AEC5C2_.wvu.PrintArea" localSheetId="8" hidden="1">'стр.7'!$A$1:$FL$70</definedName>
    <definedName name="Z_4E11DEE9_5EE3_4026_BF1B_E593095256CD_.wvu.PrintArea" localSheetId="8" hidden="1">'стр.7'!$A$1:$FL$70</definedName>
    <definedName name="_xlnm.Print_Area" localSheetId="3">'2018'!$A$1:$EN$59</definedName>
    <definedName name="_xlnm.Print_Area" localSheetId="4">'2019'!$A$1:$EN$58</definedName>
    <definedName name="_xlnm.Print_Area" localSheetId="5">'2020'!$A$1:$EL$58</definedName>
    <definedName name="_xlnm.Print_Area" localSheetId="0">'стр.1'!$A$1:$FK$30</definedName>
    <definedName name="_xlnm.Print_Area" localSheetId="1">'стр.2'!$A$1:$FK$17</definedName>
    <definedName name="_xlnm.Print_Area" localSheetId="6">'стр.5'!$A$1:$FK$13</definedName>
    <definedName name="_xlnm.Print_Area" localSheetId="7">'стр.6'!$A$1:$EJ$20</definedName>
    <definedName name="_xlnm.Print_Area" localSheetId="8">'стр.7'!$A$1:$FK$70</definedName>
  </definedNames>
  <calcPr fullCalcOnLoad="1" fullPrecision="0"/>
</workbook>
</file>

<file path=xl/sharedStrings.xml><?xml version="1.0" encoding="utf-8"?>
<sst xmlns="http://schemas.openxmlformats.org/spreadsheetml/2006/main" count="1898" uniqueCount="604">
  <si>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</si>
  <si>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</si>
  <si>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</si>
  <si>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</si>
  <si>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</si>
  <si>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</si>
  <si>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</si>
  <si>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</si>
  <si>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</si>
  <si>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</si>
  <si>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</si>
  <si>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</si>
  <si>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</si>
  <si>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</si>
  <si>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</si>
  <si>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</si>
  <si>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</si>
  <si>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Форма по КФД</t>
  </si>
  <si>
    <t>на 20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</si>
  <si>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</si>
  <si>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</si>
  <si>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</si>
  <si>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</si>
  <si>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</si>
  <si>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</si>
  <si>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</si>
  <si>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на "</t>
  </si>
  <si>
    <t>Сумма, руб.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</si>
  <si>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</si>
  <si>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</si>
  <si>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</si>
  <si>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</si>
  <si>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</si>
  <si>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</si>
  <si>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</si>
  <si>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</si>
  <si>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</si>
  <si>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</si>
  <si>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</si>
  <si>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</si>
  <si>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</si>
  <si>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оказания услуг, работ</t>
  </si>
  <si>
    <t>120</t>
  </si>
  <si>
    <t>150</t>
  </si>
  <si>
    <t>иные субсидии, предоставленные из бюджета</t>
  </si>
  <si>
    <t>прочие доходы</t>
  </si>
  <si>
    <t>160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</si>
  <si>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</si>
  <si>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</si>
  <si>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</si>
  <si>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</si>
  <si>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</si>
  <si>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</si>
  <si>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</si>
  <si>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</si>
  <si>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</si>
  <si>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</si>
  <si>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</si>
  <si>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</si>
  <si>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</si>
  <si>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</si>
  <si>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</si>
  <si>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</si>
  <si>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230</t>
  </si>
  <si>
    <t>240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</si>
  <si>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</si>
  <si>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</si>
  <si>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</si>
  <si>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</si>
  <si>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</si>
  <si>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</si>
  <si>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</si>
  <si>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увеличение стоимости основных средств</t>
  </si>
  <si>
    <t>увеличение стоимости материальных запасов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</si>
  <si>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</si>
  <si>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</si>
  <si>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</si>
  <si>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</si>
  <si>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</si>
  <si>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</si>
  <si>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</si>
  <si>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</si>
  <si>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</si>
  <si>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</si>
  <si>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</si>
  <si>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</si>
  <si>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</si>
  <si>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</si>
  <si>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</si>
  <si>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</si>
  <si>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</si>
  <si>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</si>
  <si>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</si>
  <si>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</si>
  <si>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</si>
  <si>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</si>
  <si>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</si>
  <si>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</si>
  <si>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</si>
  <si>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</si>
  <si>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</si>
  <si>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1.3. Перечень услуг (работ), осуществляемых в том числе на платной основе:</t>
  </si>
  <si>
    <t>г.</t>
  </si>
  <si>
    <t xml:space="preserve"> </t>
  </si>
  <si>
    <t>18</t>
  </si>
  <si>
    <t>19</t>
  </si>
  <si>
    <t>доходы от собственности</t>
  </si>
  <si>
    <t>Наименование государственного бюджетного (автономного) учреждения</t>
  </si>
  <si>
    <t>213</t>
  </si>
  <si>
    <t>212</t>
  </si>
  <si>
    <t>851</t>
  </si>
  <si>
    <t>852</t>
  </si>
  <si>
    <t>853</t>
  </si>
  <si>
    <t>244</t>
  </si>
  <si>
    <t>222</t>
  </si>
  <si>
    <t>243</t>
  </si>
  <si>
    <t>арендная плата</t>
  </si>
  <si>
    <t>221</t>
  </si>
  <si>
    <t>223</t>
  </si>
  <si>
    <t>224</t>
  </si>
  <si>
    <t>225</t>
  </si>
  <si>
    <t>226</t>
  </si>
  <si>
    <t>310</t>
  </si>
  <si>
    <t>340</t>
  </si>
  <si>
    <t>290</t>
  </si>
  <si>
    <t>Код по бюджет-ной классифи-кации РФ 
(ВР/КОСГУ)</t>
  </si>
  <si>
    <t>прочие расходы (кроме расходов на закупку товаров, работ, услуг)</t>
  </si>
  <si>
    <t>безвозмездные перечисления организациям</t>
  </si>
  <si>
    <t>2018</t>
  </si>
  <si>
    <t>20</t>
  </si>
  <si>
    <t xml:space="preserve">IV. Показатели выплат по расходам на закупку товаров, работ, услуг государственного учреждения </t>
  </si>
  <si>
    <t>СОГЛАСОВАНО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</si>
  <si>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</si>
  <si>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 (автономного) учреждения :</t>
  </si>
  <si>
    <t>1.2. Виды деятельности государственного бюджетного (автономного) учреждения:</t>
  </si>
  <si>
    <t xml:space="preserve">V. Сведения о средствах, поступающих во временное распоряжение государственного учреждения 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</si>
  <si>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</si>
  <si>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</si>
  <si>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СВЕДЕНИЯ</t>
  </si>
  <si>
    <t xml:space="preserve"> Г.</t>
  </si>
  <si>
    <t>Форма по ОКУД</t>
  </si>
  <si>
    <t>0501016</t>
  </si>
  <si>
    <t>от "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</si>
  <si>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</si>
  <si>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</si>
  <si>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</si>
  <si>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</si>
  <si>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</si>
  <si>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</si>
  <si>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</si>
  <si>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</si>
  <si>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</si>
  <si>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</si>
  <si>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</si>
  <si>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
(Код ГРБС)</t>
  </si>
  <si>
    <t>Код
субсидии</t>
  </si>
  <si>
    <t>Код вида расхода муниципального учреждения</t>
  </si>
  <si>
    <t>КОСГУ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</si>
  <si>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</si>
  <si>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</si>
  <si>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</si>
  <si>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</si>
  <si>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</si>
  <si>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</si>
  <si>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</si>
  <si>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</si>
  <si>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</si>
  <si>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</si>
  <si>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</si>
  <si>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1</t>
  </si>
  <si>
    <t>Всего страниц</t>
  </si>
  <si>
    <t>ОТМЕТКА ОРГАНА, ОСУЩЕСТВЛЯЮЩЕГО ВЕДЕНИЕ ЛИЦЕВОГО СЧЕТА,</t>
  </si>
  <si>
    <t>Главный</t>
  </si>
  <si>
    <t>О ПРИНЯТИИ НАСТОЯЩИХ СВЕДЕНИЙ</t>
  </si>
  <si>
    <t>бухгалтер</t>
  </si>
  <si>
    <t>Ответственный</t>
  </si>
  <si>
    <t>исполнитель</t>
  </si>
  <si>
    <t>(должность)</t>
  </si>
  <si>
    <t>(телефон)</t>
  </si>
  <si>
    <t>Министерства образования Моковской области</t>
  </si>
  <si>
    <t>бюджет Московской области</t>
  </si>
  <si>
    <t>Министерство образования Московской области</t>
  </si>
  <si>
    <t>Министерство экономики и финансов Московской области</t>
  </si>
  <si>
    <t>ОБ ОПЕРАЦИЯХ С ЦЕЛЕВЫМИ СУБСИДИЯМИ, ПРЕДОСТАВЛЕННЫМИ ГОСУДАРСТВЕННОМУ УЧРЕЖДЕНИЮ НА 20</t>
  </si>
  <si>
    <t xml:space="preserve">Государственное </t>
  </si>
  <si>
    <t>субсидия на финансовое обеспечение выполнения государственного задания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</si>
  <si>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</si>
  <si>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242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</si>
  <si>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</si>
  <si>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</si>
  <si>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</si>
  <si>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(последнюю отчетную дату)</t>
  </si>
  <si>
    <t>№ 
п/п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</si>
  <si>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</si>
  <si>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</si>
  <si>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</si>
  <si>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</si>
  <si>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</si>
  <si>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</si>
  <si>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</si>
  <si>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</si>
  <si>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</si>
  <si>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</si>
  <si>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</si>
  <si>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</si>
  <si>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</si>
  <si>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</si>
  <si>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</si>
  <si>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Показатели финансового состояния учреждения </t>
  </si>
  <si>
    <t>на ___________________ 2018 г.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</si>
  <si>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</si>
  <si>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</si>
  <si>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</si>
  <si>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</si>
  <si>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</si>
  <si>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</si>
  <si>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X</t>
  </si>
  <si>
    <t>социальные и иные выплаты населению, всего</t>
  </si>
  <si>
    <t>всего на 2018 год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</si>
  <si>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</si>
  <si>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</si>
  <si>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</si>
  <si>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</si>
  <si>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</si>
  <si>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</si>
  <si>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</si>
  <si>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</si>
  <si>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</si>
  <si>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</si>
  <si>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</si>
  <si>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</si>
  <si>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</si>
  <si>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</si>
  <si>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</si>
  <si>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</si>
  <si>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</si>
  <si>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</si>
  <si>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</si>
  <si>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</si>
  <si>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</si>
  <si>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</si>
  <si>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</si>
  <si>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</si>
  <si>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</si>
  <si>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</si>
  <si>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</si>
  <si>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</si>
  <si>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</si>
  <si>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</si>
  <si>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</si>
  <si>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</si>
  <si>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</si>
  <si>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</si>
  <si>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</si>
  <si>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</si>
  <si>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</si>
  <si>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</si>
  <si>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</si>
  <si>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</si>
  <si>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</si>
  <si>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</si>
  <si>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</si>
  <si>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</si>
  <si>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</si>
  <si>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</si>
  <si>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</si>
  <si>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</si>
  <si>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</si>
  <si>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</si>
  <si>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</si>
  <si>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</si>
  <si>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</si>
  <si>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</si>
  <si>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</si>
  <si>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</si>
  <si>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</si>
  <si>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</si>
  <si>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</si>
  <si>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</si>
  <si>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</si>
  <si>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</si>
  <si>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</si>
  <si>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</si>
  <si>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</si>
  <si>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</si>
  <si>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</si>
  <si>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</si>
  <si>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</si>
  <si>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</si>
  <si>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</si>
  <si>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</si>
  <si>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</si>
  <si>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</si>
  <si>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</si>
  <si>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</si>
  <si>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</si>
  <si>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</si>
  <si>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</si>
  <si>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</si>
  <si>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</si>
  <si>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</si>
  <si>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</si>
  <si>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</si>
  <si>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</si>
  <si>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</si>
  <si>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</si>
  <si>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</si>
  <si>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</si>
  <si>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 xml:space="preserve">прочие расходы </t>
  </si>
  <si>
    <t>113</t>
  </si>
  <si>
    <t>831</t>
  </si>
  <si>
    <t>350</t>
  </si>
  <si>
    <t>Ректор</t>
  </si>
  <si>
    <t>Старцева Т.Е.</t>
  </si>
  <si>
    <t>Государственное бюджетное образовательное учреждение высшего образования Москоской области "Технологический университет"</t>
  </si>
  <si>
    <t>5018051823/501801001</t>
  </si>
  <si>
    <t>реализация образовательных программ высшего  и послевузовского профессионального образования по широкому спектру  направлений подготовки (специальностей), образовательных программ среднего (полного) общего образования,дополнительного  профессионального образования.</t>
  </si>
  <si>
    <t xml:space="preserve"> -реализация образовательных программ среднего, высшего, послевузовского, дополнительного профессионального образования и профессиональной подготовки;                                                                                                                                                                                                         -осуществление подготовки, профессиональной переподготовки и (или) повышения квалификации работников высшей квалификации, научных и научно – педагогических работников;     выполнение фундаментальных и прикладных научных исследований;                 организация проведения общественно-значимых мероприятий в сфере образования и науки.               </t>
  </si>
  <si>
    <t>Бюджет Московской области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</si>
  <si>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</si>
  <si>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</si>
  <si>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</si>
  <si>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</si>
  <si>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</si>
  <si>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</si>
  <si>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</si>
  <si>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</si>
  <si>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</si>
  <si>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</si>
  <si>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</si>
  <si>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</si>
  <si>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</si>
  <si>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</si>
  <si>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Руководитель, заместители, главный бухгалтер учреждения</t>
  </si>
  <si>
    <t>Врачебный и средний медицинский персонал учреждений</t>
  </si>
  <si>
    <t>Работники культуры образовательных учреждений</t>
  </si>
  <si>
    <t>Общеотраслевые работники</t>
  </si>
  <si>
    <t>Руководители структурных подразделений</t>
  </si>
  <si>
    <t>Научные работники</t>
  </si>
  <si>
    <t>Рабочие</t>
  </si>
  <si>
    <t>Профессорско-преподавательский состав ВПО</t>
  </si>
  <si>
    <t>Преподаватели состав СПО</t>
  </si>
  <si>
    <t>Воспитатели</t>
  </si>
  <si>
    <t>Мастера производственного обучения</t>
  </si>
  <si>
    <t>Другие категории педагагических работников</t>
  </si>
  <si>
    <t>Педагоги дополнительного образования</t>
  </si>
  <si>
    <t>Командировочные расходы</t>
  </si>
  <si>
    <t>Санаторно-куротное лечение ректора (трудовой договор № 11-07-21-39 от 01.04.2013)</t>
  </si>
  <si>
    <t>Пособие по уходу за ребенком до 3 лет</t>
  </si>
  <si>
    <t>1.2. Расчеты (обоснования) выплат персоналу при направлении в служебные командировки (из средств бюджета Московской области)</t>
  </si>
  <si>
    <t>1.3. Расчеты (обоснования) выплат персоналу по уходу за ребенком (из средств бюджета Московской области)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</si>
  <si>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 из средств бюджета Московской области)</t>
  </si>
  <si>
    <t>обязательное социальное страхование от несчастных случаев на производстве и профессиональных заболеваний по ставке 0,20%*</t>
  </si>
  <si>
    <t>Из средств бюджета Московской области</t>
  </si>
  <si>
    <t>Транспортный налог</t>
  </si>
  <si>
    <t>Налог на загрязнение окружающей среды</t>
  </si>
  <si>
    <t>Земельный налог</t>
  </si>
  <si>
    <t xml:space="preserve">4 </t>
  </si>
  <si>
    <t>Налог на имущество</t>
  </si>
  <si>
    <t>Проезд студентов на олимпиады.конференции</t>
  </si>
  <si>
    <t>Штафы,пенни</t>
  </si>
  <si>
    <t>Госпошлина</t>
  </si>
  <si>
    <t>Количество номеров (минут)</t>
  </si>
  <si>
    <t>Абонентское обслуживание</t>
  </si>
  <si>
    <t>Детализация счета</t>
  </si>
  <si>
    <t>Внутризоновое соединение</t>
  </si>
  <si>
    <t>Оплата за пользование услугами зоновой связи</t>
  </si>
  <si>
    <t>Оплата за глобальную сеть "Интернет"</t>
  </si>
  <si>
    <t>Аренда каналов</t>
  </si>
  <si>
    <t>Почта России</t>
  </si>
  <si>
    <t>Услуги специальной связи по доставке отправлений</t>
  </si>
  <si>
    <t>6.2. Расчет (обоснование) расходов на оплату транспортных услуг (из средств бюджета Московской области )</t>
  </si>
  <si>
    <t>Оказание услуг по перевозке пассажиров</t>
  </si>
  <si>
    <t>6.3. Расчет (обоснование) расходов на оплату коммунальных услуг(223) Из средств бюджета Московской области</t>
  </si>
  <si>
    <t>Теплоэнергия</t>
  </si>
  <si>
    <t>Физическая вода</t>
  </si>
  <si>
    <t>Электроэнергия</t>
  </si>
  <si>
    <t>Водопотребление</t>
  </si>
  <si>
    <t>Водоотведение (стоки)</t>
  </si>
  <si>
    <t>6.5. Расчет (обоснование) расходов на оплату работ, услуг по содержанию имущества ( из средств бюджета Московской области)</t>
  </si>
  <si>
    <t>Вывоз ТБО, КГМ.</t>
  </si>
  <si>
    <t>г. Королев  Московская область ул. Гагарина д.42. ул. Октябрьская д.10А ул Пионерская д. 8 ул. Стадионная д.1.д.6</t>
  </si>
  <si>
    <t xml:space="preserve">Оплата услуг санитарно-эпидемической станции </t>
  </si>
  <si>
    <t>Оплата услуг на проведение текущего ремонта инвентаря и оборудования (станки, швейные машинки и т.д.)</t>
  </si>
  <si>
    <t>Прочие услуги (техническое обслуживание приборов учета тепловой энергии, горячей и холодной воды)</t>
  </si>
  <si>
    <t>Оплата услуг на проведение текущего ремонта инвентаря и оборудования (сервисное обслуживание и ремонт оргтехники, серверного оборудования, заправка катриджей)</t>
  </si>
  <si>
    <t>Оплата услуг на проведение текущего ремонта инвентаря и оборудования (автотранспорта)</t>
  </si>
  <si>
    <t>Техническое обслуживание мини -АТС</t>
  </si>
  <si>
    <t>Ремонт проекционного оборудования</t>
  </si>
  <si>
    <t>Мойка автотранспорта</t>
  </si>
  <si>
    <t>Ремонт мебели</t>
  </si>
  <si>
    <t>Техническое обслуживание и ремонт кондиционеров</t>
  </si>
  <si>
    <t>Регулировка и ремонт пластиковых окон</t>
  </si>
  <si>
    <t>Оплата услуг фабрики -прачечной</t>
  </si>
  <si>
    <t>Аутсорсинг</t>
  </si>
  <si>
    <t xml:space="preserve">Услуги по техническому обслуживанию и очистке  систем канализации </t>
  </si>
  <si>
    <t>Ремонт туалетных комнат</t>
  </si>
  <si>
    <t>Благоустройство территории</t>
  </si>
  <si>
    <t>Подготовка тепловых узлов к отопительному сезону</t>
  </si>
  <si>
    <t>Техническое обслуживание мультимедийного оборудования</t>
  </si>
  <si>
    <t>Проведение эксплуатационных испытаний электроустановок</t>
  </si>
  <si>
    <t>Услуги по сбору,хранению и последующей демеркуризацией ртутьсодержащих ламп, вывоз и утилизация основных средств,огнетушителей,обезвреживание люминесцентных ламп</t>
  </si>
  <si>
    <t>Услуги по электрификации и ремонту систем электроснабжения</t>
  </si>
  <si>
    <t xml:space="preserve">Работы по текущему ремонту кровель и водосточных систем </t>
  </si>
  <si>
    <t xml:space="preserve">Услуги по проведению энергетического обследования и разработке энергетического паспорта ( ул. Стадионная д.1; ул. Стадионная, д.6; ул. Дзержинского д.9) </t>
  </si>
  <si>
    <t>Проведение технической экспертизы основных средств</t>
  </si>
  <si>
    <t>Мойка, чистка жалюзи</t>
  </si>
  <si>
    <t>Обслуживание контейнерных площадок</t>
  </si>
  <si>
    <t>Оплата по уборке и вывозу снега и наледи с крыш</t>
  </si>
  <si>
    <t>Текущий ремонт аудиторий</t>
  </si>
  <si>
    <t>Чистка мебели</t>
  </si>
  <si>
    <t>Выполнение работ по техническому обслуживанию системы охранной сигнализации (Гагарина 42,Октябрьская 10, Пионерская 8)</t>
  </si>
  <si>
    <t xml:space="preserve">Техническое обслуживание и ремонт  системы газового пожаротушения. </t>
  </si>
  <si>
    <t>Перезарядка огнетушителей</t>
  </si>
  <si>
    <t>Техническое обслуживание пожарных кранов,испытание внутреннего водопровода,перекатка рукавов</t>
  </si>
  <si>
    <t>Техническое обслуживание АУПС</t>
  </si>
  <si>
    <t>Работы по техническому обслуживанию шлагбаума,турникета</t>
  </si>
  <si>
    <t xml:space="preserve">Работы по модернизации системы оповещения людей о пожаре в Общежитии №2 (г.Королев М.О., ул.Стадионная д.1) </t>
  </si>
  <si>
    <t>Услуги по техническому обслуживанию систем охранного видеонаблюдения (СОВН),</t>
  </si>
  <si>
    <t>Техническое обслуживание и ремонт тревожной кнопки</t>
  </si>
  <si>
    <t>Оплата услуг при изготовлении бланков строгой отчетности</t>
  </si>
  <si>
    <t>Оплата прав на программное обеспечение учебно-лабораторного корпуса</t>
  </si>
  <si>
    <t>Обеспечение и обновление справочно-информационных баз данных,(Воробьевы горы)</t>
  </si>
  <si>
    <t>Полиграфические услуги, услуги издательств(компьютерная верстка и печать монографий,учебно-метьдических пособий),префикс журналам</t>
  </si>
  <si>
    <t>Реклама</t>
  </si>
  <si>
    <t>Обучение по  технике безопасности охрана труда</t>
  </si>
  <si>
    <t>Обучение сотрудников по вопросам гражданской обороны и чрезвычайным ситуациям, пожарной безопасности</t>
  </si>
  <si>
    <t>Участие в семинарах, конференциях, симпозиумах, региональных конференциях , оплата стоимости обучения на курсах повышения квалификации ППС и сотрудников</t>
  </si>
  <si>
    <t xml:space="preserve">Услуги по организации стоянки автотранспорта( в том числе проведение предрейсовых и послерейсовых медицинских осмотров водителей и предрейсовый контороль технического состояния транспортных средств. </t>
  </si>
  <si>
    <t>Оплата договоров на подписку периодической литературы ( в том числе электронная)</t>
  </si>
  <si>
    <t>Оплата договоров подряда в т.ч. работа приемной комиссии   ГЭК,ГАК</t>
  </si>
  <si>
    <t>Договора на медицинский осмотр, мед. обслуживание  сотрудников СПО</t>
  </si>
  <si>
    <t xml:space="preserve">Периодический медосмотр- флюрография (374*290) </t>
  </si>
  <si>
    <t>Проведение предварительного осмотра(24*2300)</t>
  </si>
  <si>
    <t>Услуги по медицинскому обслуживанию обучающихся и сотрудников МГОТУ (бюджет);</t>
  </si>
  <si>
    <t>Предрейсовый осмотр водителей</t>
  </si>
  <si>
    <t>Проведение инструментальных измерений и оценки вредных и опасных факторов рабочей среды</t>
  </si>
  <si>
    <t>Аттестация рабочих мест ( 4000 руб *25 раб мест)</t>
  </si>
  <si>
    <t>Сопровождение информационных программ, аудит инф систем</t>
  </si>
  <si>
    <t>Услуги по предоставлению мест проведения учебно-тренировочных занятий,  ФОК</t>
  </si>
  <si>
    <t>21</t>
  </si>
  <si>
    <t>Монтаж и демонтаж кондиционеров</t>
  </si>
  <si>
    <t>22</t>
  </si>
  <si>
    <t xml:space="preserve">Информационно -аналитическое сопровождение  Интернет-Олимпиад </t>
  </si>
  <si>
    <t>23</t>
  </si>
  <si>
    <t xml:space="preserve">Услуги по организации работы гардероба </t>
  </si>
  <si>
    <t>24</t>
  </si>
  <si>
    <t>Страхование автотранспортных средств (пассажиров)</t>
  </si>
  <si>
    <t>25</t>
  </si>
  <si>
    <t>МОБТИ</t>
  </si>
  <si>
    <t>26</t>
  </si>
  <si>
    <t>Хостинг сайта,обновление сайта</t>
  </si>
  <si>
    <t>27</t>
  </si>
  <si>
    <t>Усиление сигнала сотовой связи</t>
  </si>
  <si>
    <t>28</t>
  </si>
  <si>
    <t>Экспертиза основных средств</t>
  </si>
  <si>
    <t>29</t>
  </si>
  <si>
    <t>Услуги ЭЦП</t>
  </si>
  <si>
    <t>30</t>
  </si>
  <si>
    <t>"Интернет-тренажеры в сфере образования" по программам ВО и СПО</t>
  </si>
  <si>
    <t>31</t>
  </si>
  <si>
    <t>"Федеральный интернет экзамен в сфере профессионального образования (ФЭПО)</t>
  </si>
  <si>
    <t>32</t>
  </si>
  <si>
    <t>Услуги по проведению инспекционного контроля системы менеджмента качества организации на соответствие требованиям ГОСТ ISO 9001-2011 (ISO 9001:2008) (бюджет);</t>
  </si>
  <si>
    <t>33</t>
  </si>
  <si>
    <t>Участие в чемпионате WorldSkills</t>
  </si>
  <si>
    <t>34</t>
  </si>
  <si>
    <t xml:space="preserve">Услуги по охране от преступных и иных незаконных посягательств на жизнь и здоровье студентов,  слушателей. сотрудников. </t>
  </si>
  <si>
    <t>35</t>
  </si>
  <si>
    <t>Услуги по охране зданий и помещений, оборудованных действующим комплексом технических средств(тревожная кнопка)</t>
  </si>
  <si>
    <t>36</t>
  </si>
  <si>
    <t>Модернизация системы охранной сигнализации (Стадионная 1)</t>
  </si>
  <si>
    <t>37</t>
  </si>
  <si>
    <t>Составление проекта и монтаж системы пожарной сигнализации в вспомогательных зданиях ТТД (спортбаза, мастерские)</t>
  </si>
  <si>
    <t>6.7. Расчет (обоснование) расходов на приобретение основных средств (340) (Из средств бюджета Московской области)</t>
  </si>
  <si>
    <t>Приобретение горюче-смазочных материалов, в том числе</t>
  </si>
  <si>
    <t>АИ-92</t>
  </si>
  <si>
    <t>АИ-95</t>
  </si>
  <si>
    <t>Дизельное топливо</t>
  </si>
  <si>
    <t>Приобретение хозяйственных товаров</t>
  </si>
  <si>
    <t>Лампы для проекционного оборудования</t>
  </si>
  <si>
    <t>Приобретение запасных частей к ПЭВМ</t>
  </si>
  <si>
    <t>Приобретение запасных частей для мультимедийного оборудования</t>
  </si>
  <si>
    <t>Приобретение канцелярских товаров</t>
  </si>
  <si>
    <t>Приобретение канцелярских товаров - бумага (коробки)</t>
  </si>
  <si>
    <t>Приобретение мягкого инвентаря</t>
  </si>
  <si>
    <t>Расходные и комплектующие для полиграфического оборудования</t>
  </si>
  <si>
    <t>Поставка цветной и фотобумаги, а также расходных материалов для полиграфического оборудования</t>
  </si>
  <si>
    <t>Расходные материалы для оргтехники (картиджи)</t>
  </si>
  <si>
    <t>Приобретение прочих расходных материалов (санитарно-технические материалы, электротехнические материалы, металлоизделия, строительные материалы)</t>
  </si>
  <si>
    <t>Запасные части для оргтехники</t>
  </si>
  <si>
    <t>Полиграфические услуги, услуги издательств(компьютерная верстка и печать монографий,учебно-методических пособий)</t>
  </si>
  <si>
    <t>Печать баннеров,вывесок</t>
  </si>
  <si>
    <t>Изготовление буклетов</t>
  </si>
  <si>
    <t>Оплата услуг при изготовлении штампов,табличек</t>
  </si>
  <si>
    <t>Комплектующие для научных кружков,лабораторий</t>
  </si>
  <si>
    <t>Комплектующие для проведения практических занятий</t>
  </si>
  <si>
    <t>Поставка журналов</t>
  </si>
  <si>
    <t>Расходные материалы для проведения занятий в СПО</t>
  </si>
  <si>
    <t>Вода</t>
  </si>
  <si>
    <t>Поставка запасных частей для проекционного оборудования (бюджет);</t>
  </si>
  <si>
    <t xml:space="preserve">Поставка гардеробного оборудования </t>
  </si>
  <si>
    <t>Расходные материалы для обслуживания ЛВС</t>
  </si>
  <si>
    <t>Папки для ученого совета</t>
  </si>
  <si>
    <t>Папки на подпись</t>
  </si>
  <si>
    <t>Поставка посуды</t>
  </si>
  <si>
    <t>Медикаменты</t>
  </si>
  <si>
    <t>Наградные знаки</t>
  </si>
  <si>
    <t>Куллеры</t>
  </si>
  <si>
    <t>Поставка индивидуальных средств защиты</t>
  </si>
  <si>
    <t>Приобретение запасных частей к автомобилям, станкам, швейным машинкам</t>
  </si>
  <si>
    <t>6.7. Расчет (обоснование) расходов на приобретение основных средств (310) (Из средств бюджета Московской области)</t>
  </si>
  <si>
    <t>Поставка инструментов для нужд учреждения</t>
  </si>
  <si>
    <t>Поставка стендов для нужд учреждения</t>
  </si>
  <si>
    <t>Поставка оборудования для нужд учреждения</t>
  </si>
  <si>
    <t>Закупка мебели для нужд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</si>
  <si>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</si>
  <si>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 образования Московской области от "____" __________ 20___ г. № _________</t>
  </si>
  <si>
    <t>Из средств от иной приносящей доход деятельности</t>
  </si>
  <si>
    <t>Установленная численность, единиц (внебюд.)</t>
  </si>
  <si>
    <t>( бюд.)</t>
  </si>
  <si>
    <t>1.2. Расчеты (обоснования) выплат персоналу при направлении в служебные командировки (из средств от иной приносящей доход деятельности)</t>
  </si>
  <si>
    <t>1.3. Расчеты (обоснования) выплат персоналу по уходу за ребенком (из средств от иной приносящей доход деятельности)</t>
  </si>
  <si>
    <t>1.4.1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 из средств бюджетаот иной приносящей доход деятельности)</t>
  </si>
  <si>
    <t>3. 1Расчет (обоснование) расходов на уплату налогов, сборов и иных платежей</t>
  </si>
  <si>
    <t>Госпошлина. Обеспечение заявки (НИР)</t>
  </si>
  <si>
    <t>Прочие расходы</t>
  </si>
  <si>
    <t>Стипендии</t>
  </si>
  <si>
    <t>Премии и гранты</t>
  </si>
  <si>
    <t>Оказание услуг междугородней связи</t>
  </si>
  <si>
    <t>Оплата за пользование услугами сотовой связи</t>
  </si>
  <si>
    <t>6.2. Расчет (обоснование) расходов на оплату транспортных услуг (из средствот иной приносящей доход деятельности )(КОСГУ 222)</t>
  </si>
  <si>
    <t>6.3. Расчет (обоснование) расходов на оплату коммунальных услуг(223) Из средств от иной приносящей доход деятельности</t>
  </si>
  <si>
    <t>Газ (потребление)</t>
  </si>
  <si>
    <t>Возмещение затрат на коммунальные услуги за площади арендуемые для размещения кафедры "Техника и технология ракетного двигателестроения"</t>
  </si>
  <si>
    <t>6.4. Расчет (обоснование) расходов на оплату аренды имущества (224) Из средств от иной приносящей доход деятельности</t>
  </si>
  <si>
    <t>Аренда оборудования</t>
  </si>
  <si>
    <t>6.5. Расчет (обоснование) расходов на оплату работ, услуг по содержанию имущества ( из средств от иной приносящей доход деятельности) (225)</t>
  </si>
  <si>
    <t>Техническое обслуживание и ремонт кассовой техники</t>
  </si>
  <si>
    <t>Оплата услуг прачечной</t>
  </si>
  <si>
    <t>Текущий ремонт служебных помещений и учебных аудиторий. Обследование несущих конструкций</t>
  </si>
  <si>
    <t xml:space="preserve">Оплата прав на программное обеспечение </t>
  </si>
  <si>
    <t>Полиграфические услуги, услуги издательств</t>
  </si>
  <si>
    <t>Оплата договоров на оказание нотариальных услуг по проведению паспортизации зданий сооружений. Услуги архивариуса</t>
  </si>
  <si>
    <t>Услуги по охране  сотрудника и груза</t>
  </si>
  <si>
    <t>Услуги по техническому осмотру транспорта</t>
  </si>
  <si>
    <t>Оплата договоров подряда в т.ч. ИДО   ГЭК,ГАК</t>
  </si>
  <si>
    <t>Оплата договоров подряда</t>
  </si>
  <si>
    <t>Оаплата соисполнителям НИР</t>
  </si>
  <si>
    <t>Страхование автотранспортных средств  имущества</t>
  </si>
  <si>
    <t xml:space="preserve">Услуги по медицинскому обслуживанию </t>
  </si>
  <si>
    <t>Услуги по сбору хранению и последующей демеркуризации ртутьсодержащих ламп экспертизе и утилизации основных средств</t>
  </si>
  <si>
    <t>Организация выставки г. Ашхабад г. Самарканд г. Ташкент</t>
  </si>
  <si>
    <t>Прочие услуги ( проверка на антиплагиат) экспресс доставка и т.д.</t>
  </si>
  <si>
    <t>Фонд ЭКОСАН</t>
  </si>
  <si>
    <t>Услуги охраны объектов</t>
  </si>
  <si>
    <t>6.7. Расчет (обоснование) расходов на приобретение основных средств (340) (Из средств от иной приносяще доход деятельности)</t>
  </si>
  <si>
    <t>Незамерзайка</t>
  </si>
  <si>
    <t>Договор поставки  (в рамках НИРов)</t>
  </si>
  <si>
    <t>Поставка журналов зачетных книжек</t>
  </si>
  <si>
    <t>6.7. 1 Расчет (обоснование) расходов на приобретение основных средств (310) (Из средств от иной приносящей доход деятельности)</t>
  </si>
  <si>
    <t>Ректор Государственного бюджетного образовательного учреждения высшего образования Московской области "Технологический унивеситет"</t>
  </si>
  <si>
    <t>Т.Е. Старцева</t>
  </si>
  <si>
    <t>53120431</t>
  </si>
  <si>
    <t>Государственное  бюджетное образовательное учреждение высшего  образования Московской области "Технологический университет"</t>
  </si>
  <si>
    <t>5018051823</t>
  </si>
  <si>
    <t>501801001</t>
  </si>
  <si>
    <t>141070,г. Королев Московская область,  ул.Гагарина,д.42.</t>
  </si>
  <si>
    <t>383</t>
  </si>
  <si>
    <t>46734000</t>
  </si>
  <si>
    <t>оказание образовательных услуг в пределах, установленных лицензией на осуществление образовательной деятельности по основным образовательным программам среднего профессионального, высшего и послевузовского  образования, по дополнительным профессиональным образовательным программам и программам профессиональной подготовки, сверх финансируемых за счет средств бюджета Московской области контрольных цифр приема граждан, а также по программам профессиональной подготовки; оказание платных дополнительных образовательных услуг, не предусмотренных соответствующими образовательными программами и федеральными государственными образовательными стандартами, а также образовательными стандартами, устанавливаемыми университетом самостоятельно, (довузовская подготовки лиц, изъявляющих желание поступить на обучение в университет, обучение по дополнительным образовательным программам, преподавание специальных курсов и циклов дисциплин, репетиторство, занятия с обучающимися углубленным изучением предметов и другие услуги);  выполнение научно-исследовательских работ сверх тематического плана научно-технической деятельности, реализуемого за счет средств бюджета Московской области; выполнение фундаментальных и прикладных научных исследований, проведение опытно-конструкторских, опытно-технических, опытно-технологических работ и производство перспективной техники и других изделий; создание, производство, использование, реализация и техническое обслуживание наукоемкой продукции, в том числе новых видов техники, материалов и технологий и иных видов оборудования, иных видов наукоемкой продукции; выполнение фундаментальных и прикладных научных исследований, проведение опытно-конструкторских, опытно-технических, опытно-технологических работ  и производство перспективной техники и других изделий; осуществление спортивной и физкультурно-оздоровительной деятельности; организация деятельности молодежных туристических лагерей и горных туристических баз, включая реализацию путевок; создание и ведение информационных баз, обработка данных, подготовка аналитических обзоров; выполнение пуско-наладочных работ и работ по обслуживанию и текущему (капитальному) ремонту инженерных сетей, систем связи, сигнализации, видеонаблюдения;  осуществление рекламной и издательско-полиграфической деятельности (реализация учебно-методической и научной литературы, бланочной продукции, изданной за счет средств от приносящей доход деятельности);  выполнение художественных, оформительских и дизайнерских работ;  разработка макетов, дизайн-проектов товарных знаков, знаков обслуживания, эмблем; организация и проведение стажировок и практик в Российской Федерации и за рубежом, направление на обучение за пределы территории Российской Федерации; реализация товаров, созданных или приобретенных за счет средств от приносящей доход деятельности, направленных на обеспечение уставной деятельности, в том числе на обеспечение образовательного процесса и научной деятельности;  выполнение аналитических, фундаментальных и прикладных научно-исследовательских работ, создание результатов интеллектуальной деятельности, а также реализацию прав на них; инновационная деятельность, тиражирование и внедрение, в том числе научно-технических разработок, изобретений и рационализаторских предложений; выпуск и реализация аудиовизуальной продукции, обучающих программ, информационных и других материалов, изготовленных за счет средств, полученных от приносящей доход деятельности; оказание копировально-множительных услуг, тиражирование учебных, учебно-методических, информационно-аналитических и других материалов;  оказание консультационных (консалтинговых), информационных и маркетинговых услуг в установленной сфере деятельности; оказание юридических услуг, в том числе проведение экспертиз и консультирование; оказание посреднических услуг; исследования в области маркетинга и менеджмента;  оказание справочно-библиографических, методических (методологических) и прочих информационных услуг; предоставление услуг проживания, пользования коммунальными и хозяйственными услугами в общежитиях, в том числе гостиничного типа работникам и обучающимся в Университете; реализация услуг и продукции, изготовленной обучающимися Университета; производство и реализация продукции производственного, технического, учебного и бытового назначения; осуществление деятельности в области испытаний, метрологии, стандартизации, сертификации продукции и услуг, а также экологической паспортизации и иных видов деятельности, в том числе связанных с услугами (работами) природоохранного значения; выполнение работ с архивными документами; производство и реализация изобразительной, сувенирной и другой тиражируемой продукции и товаров народного потребления, в том числе с использованием изображений музейных предметов и коллекций, здания Университета, объектов, расположенных на её территории; создание и использование продуктов интеллектуальной деятельности (полезных моделей, компьютерных программных продуктов); осуществление международного сотрудничества по направлениям, соответствующим профилю деятельности Университета; организация и проведение международных мероприятий; внешнеэкономическая деятельность Университета; выполнение аналитических работ, патентных исследований; разработка, внедрение и продажа программных продуктов, секретов производства (ноу-хау), наукоемких технологий; в случаях и порядке, предусмотренных федеральными законами, внесение в уставный (складочный) капитал хозяйственных обществ денежных средств (если иное не установлено условиями их предоставления) и иного имущества (за исключением особо ценного движимого имущества, закрепленного за Университетом собственником или приобретенного Университетом за счет средств, выделенных ему собственником на приобретение такого имущества, а также недвижимого имущества) или передача иным образом этого имущества в качестве их учредителя или участника;</t>
  </si>
  <si>
    <t>III. Показатели по поступлениям и выплатам государственного учреждения  на плановый период 2020 года</t>
  </si>
  <si>
    <t>III. Показатели по поступлениям и выплатам государственного учреждения  на плановый период 2019года</t>
  </si>
  <si>
    <t>4. Расчет (обоснование) расходов на закупку товаров, работ, услуг</t>
  </si>
  <si>
    <r>
      <t>1.4. Общая балансовая стоимость недвижимого  государственного имущества на дату составления Плана -</t>
    </r>
    <r>
      <rPr>
        <u val="single"/>
        <sz val="11"/>
        <rFont val="Times New Roman"/>
        <family val="1"/>
      </rPr>
      <t xml:space="preserve">    115126344.18                      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</si>
  <si>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115126344.18                     </t>
    </r>
    <r>
      <rPr>
        <sz val="11"/>
        <rFont val="Times New Roman"/>
        <family val="1"/>
      </rPr>
      <t>рублей,</t>
    </r>
  </si>
  <si>
    <t>Зам. начальника ПФиДУ</t>
  </si>
  <si>
    <t>Коновалова Т.И.</t>
  </si>
  <si>
    <t>(495)516 999 28 (1112)</t>
  </si>
  <si>
    <t xml:space="preserve">Сумма, руб.
</t>
  </si>
  <si>
    <t>III. Показатели по поступлениям и выплатам государственного учреждения  в 2018 году</t>
  </si>
  <si>
    <t>320</t>
  </si>
  <si>
    <t>Кап. Ремонт</t>
  </si>
  <si>
    <t>квант</t>
  </si>
  <si>
    <t>связь</t>
  </si>
  <si>
    <t>счетчики</t>
  </si>
  <si>
    <t>безопасный регион</t>
  </si>
  <si>
    <t>работы,по капитальному ремонту</t>
  </si>
  <si>
    <t>200000-демоэкзамен</t>
  </si>
  <si>
    <t>150000-демоэкзамен</t>
  </si>
  <si>
    <t>50000-демоэкзамен</t>
  </si>
  <si>
    <t xml:space="preserve">1.5. Общая балансовая стоимость движимого государственного имущества на дату составления  Плана -__341164793.59_________________   рублей,
</t>
  </si>
  <si>
    <t>Субсидии на проведение демонстрационного экзамена</t>
  </si>
  <si>
    <t>Субсидии на иные цели (капитальный ремонт)</t>
  </si>
  <si>
    <t>Субсидия на установку приборов учета энергетических ресурсов, закупку товаров, работ ,услуг в целях повышения энергетической эффективности государственных учреждений.</t>
  </si>
  <si>
    <t>Субсидии на иные цели (Кванториум)</t>
  </si>
  <si>
    <t>Субсидии на иные цели ("Безопасный регион")</t>
  </si>
  <si>
    <t xml:space="preserve">Субсидия на  иные цели «Доступная среда» </t>
  </si>
  <si>
    <t>Заместитель министра образования Московской области - начальник управления Финансового обеспечения Министерства образования</t>
  </si>
  <si>
    <t>А.А. Лазарев</t>
  </si>
  <si>
    <t xml:space="preserve">Заместитель министра образования Московской области - начальник управления Финансового обеспечения </t>
  </si>
  <si>
    <t>Субсидия на организацию и проведение интеллектуальных. Культурных инициатив. Развитие системы волонтерской работы</t>
  </si>
  <si>
    <t>Субсидия на обеспечение участия системы образования Московской области</t>
  </si>
  <si>
    <t>Субсидия на учебную литературу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</si>
</sst>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[$-FC19]d\ mmmm\ yyyy\ &quot;г.&quot;"/>
    <numFmt numFmtId="174" formatCode="#,##0.000"/>
    <numFmt numFmtId="175" formatCode="#,##0.0"/>
    <numFmt numFmtId="176" formatCode="#,##0.0000"/>
  </numFmts>
  <fonts count="6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6"/>
      <name val="Times New Roman"/>
      <family val="1"/>
    </font>
    <font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6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3" xfId="0" applyNumberFormat="1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/>
    </xf>
    <xf numFmtId="0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0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10" fillId="0" borderId="22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/>
    </xf>
    <xf numFmtId="49" fontId="2" fillId="0" borderId="2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43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43" fontId="21" fillId="0" borderId="0" xfId="0" applyNumberFormat="1" applyFont="1" applyBorder="1" applyAlignment="1">
      <alignment horizontal="left"/>
    </xf>
    <xf numFmtId="43" fontId="5" fillId="0" borderId="0" xfId="0" applyNumberFormat="1" applyFont="1" applyBorder="1" applyAlignment="1">
      <alignment horizontal="left" vertical="center"/>
    </xf>
    <xf numFmtId="43" fontId="4" fillId="0" borderId="0" xfId="0" applyNumberFormat="1" applyFont="1" applyBorder="1" applyAlignment="1">
      <alignment horizontal="left"/>
    </xf>
    <xf numFmtId="0" fontId="1" fillId="32" borderId="0" xfId="0" applyNumberFormat="1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/>
    </xf>
    <xf numFmtId="1" fontId="2" fillId="32" borderId="25" xfId="0" applyNumberFormat="1" applyFont="1" applyFill="1" applyBorder="1" applyAlignment="1">
      <alignment vertical="center"/>
    </xf>
    <xf numFmtId="1" fontId="2" fillId="32" borderId="25" xfId="0" applyNumberFormat="1" applyFont="1" applyFill="1" applyBorder="1" applyAlignment="1">
      <alignment horizontal="center" vertical="center"/>
    </xf>
    <xf numFmtId="4" fontId="8" fillId="32" borderId="25" xfId="0" applyNumberFormat="1" applyFont="1" applyFill="1" applyBorder="1" applyAlignment="1" applyProtection="1">
      <alignment horizontal="center" vertical="center"/>
      <protection/>
    </xf>
    <xf numFmtId="4" fontId="2" fillId="32" borderId="25" xfId="0" applyNumberFormat="1" applyFont="1" applyFill="1" applyBorder="1" applyAlignment="1">
      <alignment horizontal="center" vertical="center"/>
    </xf>
    <xf numFmtId="1" fontId="8" fillId="32" borderId="25" xfId="0" applyNumberFormat="1" applyFont="1" applyFill="1" applyBorder="1" applyAlignment="1">
      <alignment horizontal="center" vertical="center"/>
    </xf>
    <xf numFmtId="49" fontId="8" fillId="32" borderId="25" xfId="0" applyNumberFormat="1" applyFont="1" applyFill="1" applyBorder="1" applyAlignment="1">
      <alignment vertical="center"/>
    </xf>
    <xf numFmtId="49" fontId="8" fillId="32" borderId="25" xfId="0" applyNumberFormat="1" applyFont="1" applyFill="1" applyBorder="1" applyAlignment="1">
      <alignment horizontal="center" vertical="center"/>
    </xf>
    <xf numFmtId="4" fontId="8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25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1" fontId="8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 wrapText="1"/>
    </xf>
    <xf numFmtId="49" fontId="8" fillId="32" borderId="25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5" fillId="0" borderId="2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43" fontId="28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indent="6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5" fillId="0" borderId="27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26" xfId="0" applyNumberFormat="1" applyFont="1" applyBorder="1" applyAlignment="1">
      <alignment horizontal="center" vertical="center"/>
    </xf>
    <xf numFmtId="43" fontId="5" fillId="0" borderId="27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0" fontId="21" fillId="0" borderId="26" xfId="0" applyNumberFormat="1" applyFont="1" applyBorder="1" applyAlignment="1">
      <alignment vertical="center" wrapText="1"/>
    </xf>
    <xf numFmtId="0" fontId="21" fillId="0" borderId="27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4" fontId="8" fillId="32" borderId="25" xfId="0" applyNumberFormat="1" applyFont="1" applyFill="1" applyBorder="1" applyAlignment="1" applyProtection="1">
      <alignment horizontal="center" vertical="center"/>
      <protection/>
    </xf>
    <xf numFmtId="4" fontId="2" fillId="32" borderId="25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8" fillId="32" borderId="25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25" xfId="0" applyNumberFormat="1" applyFont="1" applyFill="1" applyBorder="1" applyAlignment="1">
      <alignment horizontal="center" vertical="center"/>
    </xf>
    <xf numFmtId="49" fontId="8" fillId="32" borderId="25" xfId="0" applyNumberFormat="1" applyFont="1" applyFill="1" applyBorder="1" applyAlignment="1">
      <alignment horizontal="left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/>
    </xf>
    <xf numFmtId="1" fontId="2" fillId="0" borderId="25" xfId="0" applyNumberFormat="1" applyFont="1" applyFill="1" applyBorder="1" applyAlignment="1">
      <alignment horizontal="center" vertical="center"/>
    </xf>
    <xf numFmtId="1" fontId="8" fillId="32" borderId="25" xfId="0" applyNumberFormat="1" applyFont="1" applyFill="1" applyBorder="1" applyAlignment="1">
      <alignment horizontal="center" vertical="center"/>
    </xf>
    <xf numFmtId="49" fontId="8" fillId="32" borderId="2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26" xfId="0" applyNumberFormat="1" applyFont="1" applyFill="1" applyBorder="1" applyAlignment="1">
      <alignment horizontal="left" vertical="center" wrapText="1"/>
    </xf>
    <xf numFmtId="49" fontId="2" fillId="32" borderId="27" xfId="0" applyNumberFormat="1" applyFont="1" applyFill="1" applyBorder="1" applyAlignment="1">
      <alignment horizontal="left" vertical="center" wrapText="1"/>
    </xf>
    <xf numFmtId="1" fontId="2" fillId="32" borderId="24" xfId="0" applyNumberFormat="1" applyFont="1" applyFill="1" applyBorder="1" applyAlignment="1">
      <alignment horizontal="center" vertical="center"/>
    </xf>
    <xf numFmtId="1" fontId="2" fillId="32" borderId="23" xfId="0" applyNumberFormat="1" applyFont="1" applyFill="1" applyBorder="1" applyAlignment="1">
      <alignment horizontal="center" vertical="center"/>
    </xf>
    <xf numFmtId="1" fontId="2" fillId="32" borderId="28" xfId="0" applyNumberFormat="1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/>
    </xf>
    <xf numFmtId="1" fontId="2" fillId="32" borderId="0" xfId="0" applyNumberFormat="1" applyFont="1" applyFill="1" applyBorder="1" applyAlignment="1">
      <alignment horizontal="center" vertical="center"/>
    </xf>
    <xf numFmtId="1" fontId="2" fillId="32" borderId="12" xfId="0" applyNumberFormat="1" applyFont="1" applyFill="1" applyBorder="1" applyAlignment="1">
      <alignment horizontal="center" vertical="center"/>
    </xf>
    <xf numFmtId="1" fontId="2" fillId="32" borderId="13" xfId="0" applyNumberFormat="1" applyFont="1" applyFill="1" applyBorder="1" applyAlignment="1">
      <alignment horizontal="center" vertical="center"/>
    </xf>
    <xf numFmtId="1" fontId="2" fillId="32" borderId="14" xfId="0" applyNumberFormat="1" applyFont="1" applyFill="1" applyBorder="1" applyAlignment="1">
      <alignment horizontal="center" vertical="center"/>
    </xf>
    <xf numFmtId="1" fontId="2" fillId="32" borderId="15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26" xfId="0" applyNumberFormat="1" applyFont="1" applyFill="1" applyBorder="1" applyAlignment="1">
      <alignment horizontal="left" vertical="center" wrapText="1"/>
    </xf>
    <xf numFmtId="49" fontId="8" fillId="32" borderId="27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4" fontId="2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" fontId="8" fillId="0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172" fontId="1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43" fontId="1" fillId="0" borderId="2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26" xfId="0" applyNumberFormat="1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" fontId="11" fillId="33" borderId="26" xfId="0" applyNumberFormat="1" applyFont="1" applyFill="1" applyBorder="1" applyAlignment="1">
      <alignment horizontal="center"/>
    </xf>
    <xf numFmtId="4" fontId="11" fillId="33" borderId="27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26" xfId="0" applyNumberFormat="1" applyFont="1" applyFill="1" applyBorder="1" applyAlignment="1">
      <alignment horizontal="center" vertical="center"/>
    </xf>
    <xf numFmtId="4" fontId="11" fillId="33" borderId="27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left" vertical="top" wrapText="1"/>
    </xf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center" wrapText="1"/>
    </xf>
    <xf numFmtId="0" fontId="11" fillId="0" borderId="27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14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0" fontId="10" fillId="0" borderId="2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0" fontId="10" fillId="0" borderId="23" xfId="0" applyNumberFormat="1" applyFont="1" applyBorder="1" applyAlignment="1">
      <alignment horizontal="center" vertical="top"/>
    </xf>
    <xf numFmtId="0" fontId="11" fillId="0" borderId="29" xfId="0" applyNumberFormat="1" applyFont="1" applyFill="1" applyBorder="1" applyAlignment="1">
      <alignment horizontal="center"/>
    </xf>
    <xf numFmtId="0" fontId="11" fillId="0" borderId="30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0" fontId="11" fillId="0" borderId="36" xfId="0" applyNumberFormat="1" applyFont="1" applyBorder="1" applyAlignment="1">
      <alignment horizontal="center" vertical="top"/>
    </xf>
    <xf numFmtId="0" fontId="11" fillId="0" borderId="25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top"/>
    </xf>
    <xf numFmtId="43" fontId="11" fillId="0" borderId="37" xfId="0" applyNumberFormat="1" applyFont="1" applyFill="1" applyBorder="1" applyAlignment="1">
      <alignment horizontal="center" vertical="center"/>
    </xf>
    <xf numFmtId="43" fontId="11" fillId="0" borderId="38" xfId="0" applyNumberFormat="1" applyFont="1" applyFill="1" applyBorder="1" applyAlignment="1">
      <alignment horizontal="center" vertical="center"/>
    </xf>
    <xf numFmtId="43" fontId="11" fillId="0" borderId="39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/>
    </xf>
    <xf numFmtId="0" fontId="11" fillId="0" borderId="23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 wrapText="1"/>
    </xf>
    <xf numFmtId="2" fontId="11" fillId="0" borderId="14" xfId="0" applyNumberFormat="1" applyFont="1" applyFill="1" applyBorder="1" applyAlignment="1">
      <alignment horizontal="left" wrapText="1"/>
    </xf>
    <xf numFmtId="49" fontId="11" fillId="0" borderId="48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49" xfId="0" applyNumberFormat="1" applyFont="1" applyFill="1" applyBorder="1" applyAlignment="1">
      <alignment horizontal="center"/>
    </xf>
    <xf numFmtId="49" fontId="15" fillId="0" borderId="50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49" fontId="15" fillId="0" borderId="52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54" xfId="0" applyNumberFormat="1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49" fontId="21" fillId="0" borderId="26" xfId="0" applyNumberFormat="1" applyFont="1" applyBorder="1" applyAlignment="1">
      <alignment horizontal="right" vertical="center"/>
    </xf>
    <xf numFmtId="49" fontId="21" fillId="0" borderId="27" xfId="0" applyNumberFormat="1" applyFont="1" applyBorder="1" applyAlignment="1">
      <alignment horizontal="right" vertical="center"/>
    </xf>
    <xf numFmtId="0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174" fontId="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justify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27" xfId="0" applyNumberFormat="1" applyFont="1" applyBorder="1" applyAlignment="1">
      <alignment horizontal="left" vertical="center" wrapText="1" indent="2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left" vertical="center" wrapText="1" indent="2"/>
    </xf>
    <xf numFmtId="0" fontId="5" fillId="0" borderId="28" xfId="0" applyNumberFormat="1" applyFont="1" applyBorder="1" applyAlignment="1">
      <alignment horizontal="left" vertical="center" wrapText="1" indent="2"/>
    </xf>
    <xf numFmtId="4" fontId="5" fillId="0" borderId="24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43" fontId="5" fillId="0" borderId="25" xfId="0" applyNumberFormat="1" applyFont="1" applyBorder="1" applyAlignment="1">
      <alignment horizontal="center" vertical="center"/>
    </xf>
    <xf numFmtId="43" fontId="5" fillId="0" borderId="24" xfId="0" applyNumberFormat="1" applyFont="1" applyBorder="1" applyAlignment="1">
      <alignment horizontal="center"/>
    </xf>
    <xf numFmtId="43" fontId="5" fillId="0" borderId="23" xfId="0" applyNumberFormat="1" applyFont="1" applyBorder="1" applyAlignment="1">
      <alignment horizontal="center"/>
    </xf>
    <xf numFmtId="43" fontId="5" fillId="0" borderId="28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/>
    </xf>
    <xf numFmtId="0" fontId="5" fillId="0" borderId="26" xfId="0" applyNumberFormat="1" applyFont="1" applyBorder="1" applyAlignment="1">
      <alignment vertical="top"/>
    </xf>
    <xf numFmtId="0" fontId="5" fillId="0" borderId="27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6" xfId="0" applyNumberFormat="1" applyFont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43" fontId="5" fillId="0" borderId="25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0" fontId="5" fillId="0" borderId="26" xfId="0" applyNumberFormat="1" applyFont="1" applyBorder="1" applyAlignment="1">
      <alignment vertical="top" wrapText="1"/>
    </xf>
    <xf numFmtId="0" fontId="5" fillId="0" borderId="27" xfId="0" applyNumberFormat="1" applyFont="1" applyBorder="1" applyAlignment="1">
      <alignment vertical="top" wrapText="1"/>
    </xf>
    <xf numFmtId="43" fontId="21" fillId="0" borderId="25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/>
    </xf>
    <xf numFmtId="43" fontId="5" fillId="0" borderId="14" xfId="0" applyNumberFormat="1" applyFont="1" applyBorder="1" applyAlignment="1">
      <alignment horizontal="center"/>
    </xf>
    <xf numFmtId="43" fontId="5" fillId="0" borderId="1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43" fontId="5" fillId="0" borderId="25" xfId="0" applyNumberFormat="1" applyFont="1" applyBorder="1" applyAlignment="1">
      <alignment vertical="center"/>
    </xf>
    <xf numFmtId="43" fontId="5" fillId="0" borderId="25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43" fontId="5" fillId="0" borderId="2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top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top"/>
    </xf>
    <xf numFmtId="0" fontId="5" fillId="0" borderId="69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5" fillId="0" borderId="62" xfId="0" applyNumberFormat="1" applyFont="1" applyBorder="1" applyAlignment="1">
      <alignment horizontal="left" vertical="center" wrapText="1"/>
    </xf>
    <xf numFmtId="0" fontId="5" fillId="0" borderId="65" xfId="0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66" xfId="0" applyNumberFormat="1" applyFont="1" applyBorder="1" applyAlignment="1">
      <alignment horizontal="center" vertical="top"/>
    </xf>
    <xf numFmtId="4" fontId="5" fillId="0" borderId="65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6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top"/>
    </xf>
    <xf numFmtId="0" fontId="5" fillId="0" borderId="51" xfId="0" applyNumberFormat="1" applyFont="1" applyBorder="1" applyAlignment="1">
      <alignment horizontal="center" vertical="top"/>
    </xf>
    <xf numFmtId="0" fontId="5" fillId="0" borderId="61" xfId="0" applyNumberFormat="1" applyFont="1" applyBorder="1" applyAlignment="1">
      <alignment horizontal="center" vertical="top"/>
    </xf>
    <xf numFmtId="0" fontId="5" fillId="0" borderId="64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62" xfId="0" applyNumberFormat="1" applyFont="1" applyBorder="1" applyAlignment="1">
      <alignment horizontal="center" vertical="top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4" fontId="5" fillId="0" borderId="59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4" fontId="5" fillId="0" borderId="59" xfId="0" applyNumberFormat="1" applyFont="1" applyFill="1" applyBorder="1" applyAlignment="1">
      <alignment horizontal="center" vertical="center"/>
    </xf>
    <xf numFmtId="4" fontId="5" fillId="0" borderId="63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5" fillId="0" borderId="61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5" fillId="0" borderId="62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4" fontId="5" fillId="0" borderId="71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32" borderId="65" xfId="0" applyNumberFormat="1" applyFont="1" applyFill="1" applyBorder="1" applyAlignment="1">
      <alignment horizontal="center" vertical="center"/>
    </xf>
    <xf numFmtId="0" fontId="5" fillId="32" borderId="34" xfId="0" applyNumberFormat="1" applyFont="1" applyFill="1" applyBorder="1" applyAlignment="1">
      <alignment horizontal="center" vertical="center"/>
    </xf>
    <xf numFmtId="0" fontId="5" fillId="32" borderId="66" xfId="0" applyNumberFormat="1" applyFont="1" applyFill="1" applyBorder="1" applyAlignment="1">
      <alignment horizontal="center" vertical="center"/>
    </xf>
    <xf numFmtId="4" fontId="5" fillId="32" borderId="59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56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4" fontId="5" fillId="0" borderId="55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left" vertical="center"/>
    </xf>
    <xf numFmtId="49" fontId="5" fillId="0" borderId="51" xfId="0" applyNumberFormat="1" applyFont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5" fillId="0" borderId="53" xfId="0" applyNumberFormat="1" applyFont="1" applyBorder="1" applyAlignment="1">
      <alignment horizontal="left" vertical="center"/>
    </xf>
    <xf numFmtId="49" fontId="5" fillId="0" borderId="54" xfId="0" applyNumberFormat="1" applyFont="1" applyBorder="1" applyAlignment="1">
      <alignment horizontal="left" vertical="center"/>
    </xf>
    <xf numFmtId="49" fontId="5" fillId="0" borderId="62" xfId="0" applyNumberFormat="1" applyFont="1" applyBorder="1" applyAlignment="1">
      <alignment horizontal="left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66" xfId="0" applyNumberFormat="1" applyFont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49" fontId="21" fillId="0" borderId="27" xfId="0" applyNumberFormat="1" applyFont="1" applyBorder="1" applyAlignment="1">
      <alignment horizontal="left" vertical="center"/>
    </xf>
    <xf numFmtId="0" fontId="5" fillId="32" borderId="25" xfId="0" applyNumberFormat="1" applyFont="1" applyFill="1" applyBorder="1" applyAlignment="1">
      <alignment horizontal="center" vertical="top"/>
    </xf>
    <xf numFmtId="0" fontId="5" fillId="32" borderId="10" xfId="0" applyNumberFormat="1" applyFont="1" applyFill="1" applyBorder="1" applyAlignment="1">
      <alignment vertical="top" wrapText="1"/>
    </xf>
    <xf numFmtId="0" fontId="5" fillId="32" borderId="26" xfId="0" applyNumberFormat="1" applyFont="1" applyFill="1" applyBorder="1" applyAlignment="1">
      <alignment vertical="top" wrapText="1"/>
    </xf>
    <xf numFmtId="0" fontId="5" fillId="32" borderId="27" xfId="0" applyNumberFormat="1" applyFont="1" applyFill="1" applyBorder="1" applyAlignment="1">
      <alignment vertical="top" wrapText="1"/>
    </xf>
    <xf numFmtId="0" fontId="5" fillId="32" borderId="10" xfId="0" applyNumberFormat="1" applyFont="1" applyFill="1" applyBorder="1" applyAlignment="1">
      <alignment horizontal="left" vertical="top" wrapText="1"/>
    </xf>
    <xf numFmtId="0" fontId="5" fillId="32" borderId="26" xfId="0" applyNumberFormat="1" applyFont="1" applyFill="1" applyBorder="1" applyAlignment="1">
      <alignment horizontal="left" vertical="top" wrapText="1"/>
    </xf>
    <xf numFmtId="0" fontId="5" fillId="32" borderId="27" xfId="0" applyNumberFormat="1" applyFont="1" applyFill="1" applyBorder="1" applyAlignment="1">
      <alignment horizontal="left" vertical="top" wrapText="1"/>
    </xf>
    <xf numFmtId="43" fontId="5" fillId="32" borderId="25" xfId="0" applyNumberFormat="1" applyFont="1" applyFill="1" applyBorder="1" applyAlignment="1">
      <alignment horizontal="center" vertical="top"/>
    </xf>
    <xf numFmtId="0" fontId="21" fillId="0" borderId="10" xfId="0" applyNumberFormat="1" applyFont="1" applyBorder="1" applyAlignment="1">
      <alignment horizontal="right" vertical="center"/>
    </xf>
    <xf numFmtId="0" fontId="21" fillId="0" borderId="26" xfId="0" applyNumberFormat="1" applyFont="1" applyBorder="1" applyAlignment="1">
      <alignment horizontal="right" vertical="center"/>
    </xf>
    <xf numFmtId="0" fontId="21" fillId="0" borderId="27" xfId="0" applyNumberFormat="1" applyFont="1" applyBorder="1" applyAlignment="1">
      <alignment horizontal="right" vertical="center"/>
    </xf>
    <xf numFmtId="0" fontId="5" fillId="32" borderId="25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wrapText="1"/>
    </xf>
    <xf numFmtId="0" fontId="5" fillId="32" borderId="24" xfId="0" applyNumberFormat="1" applyFont="1" applyFill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0" fontId="5" fillId="32" borderId="27" xfId="0" applyNumberFormat="1" applyFont="1" applyFill="1" applyBorder="1" applyAlignment="1">
      <alignment horizontal="center" vertical="center" wrapText="1"/>
    </xf>
    <xf numFmtId="43" fontId="5" fillId="32" borderId="2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top"/>
    </xf>
    <xf numFmtId="0" fontId="5" fillId="32" borderId="26" xfId="0" applyNumberFormat="1" applyFont="1" applyFill="1" applyBorder="1" applyAlignment="1">
      <alignment horizontal="center" vertical="top"/>
    </xf>
    <xf numFmtId="0" fontId="5" fillId="32" borderId="27" xfId="0" applyNumberFormat="1" applyFont="1" applyFill="1" applyBorder="1" applyAlignment="1">
      <alignment horizontal="center" vertical="top"/>
    </xf>
    <xf numFmtId="49" fontId="5" fillId="32" borderId="25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26" xfId="0" applyNumberFormat="1" applyFont="1" applyFill="1" applyBorder="1" applyAlignment="1">
      <alignment horizontal="left" vertical="center" wrapText="1"/>
    </xf>
    <xf numFmtId="0" fontId="5" fillId="32" borderId="27" xfId="0" applyNumberFormat="1" applyFont="1" applyFill="1" applyBorder="1" applyAlignment="1">
      <alignment horizontal="left" vertical="center" wrapText="1"/>
    </xf>
    <xf numFmtId="43" fontId="5" fillId="32" borderId="25" xfId="0" applyNumberFormat="1" applyFont="1" applyFill="1" applyBorder="1" applyAlignment="1">
      <alignment horizontal="right" vertical="center"/>
    </xf>
    <xf numFmtId="43" fontId="21" fillId="32" borderId="25" xfId="0" applyNumberFormat="1" applyFont="1" applyFill="1" applyBorder="1" applyAlignment="1">
      <alignment horizontal="center" vertical="center"/>
    </xf>
    <xf numFmtId="0" fontId="21" fillId="32" borderId="25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26" xfId="0" applyNumberFormat="1" applyFont="1" applyFill="1" applyBorder="1" applyAlignment="1">
      <alignment horizontal="center" vertical="center"/>
    </xf>
    <xf numFmtId="49" fontId="5" fillId="32" borderId="27" xfId="0" applyNumberFormat="1" applyFont="1" applyFill="1" applyBorder="1" applyAlignment="1">
      <alignment horizontal="center" vertical="center"/>
    </xf>
    <xf numFmtId="43" fontId="5" fillId="32" borderId="10" xfId="0" applyNumberFormat="1" applyFont="1" applyFill="1" applyBorder="1" applyAlignment="1">
      <alignment horizontal="center" vertical="center"/>
    </xf>
    <xf numFmtId="43" fontId="5" fillId="32" borderId="26" xfId="0" applyNumberFormat="1" applyFont="1" applyFill="1" applyBorder="1" applyAlignment="1">
      <alignment horizontal="center" vertical="center"/>
    </xf>
    <xf numFmtId="43" fontId="5" fillId="32" borderId="27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right" vertical="center"/>
    </xf>
    <xf numFmtId="49" fontId="5" fillId="32" borderId="26" xfId="0" applyNumberFormat="1" applyFont="1" applyFill="1" applyBorder="1" applyAlignment="1">
      <alignment horizontal="right" vertical="center"/>
    </xf>
    <xf numFmtId="49" fontId="5" fillId="32" borderId="27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SheetLayoutView="100" zoomScalePageLayoutView="0" workbookViewId="0" topLeftCell="A4">
      <selection activeCell="A4" sqref="A4:FK30"/>
    </sheetView>
  </sheetViews>
  <sheetFormatPr defaultColWidth="0.875" defaultRowHeight="12.75"/>
  <cols>
    <col min="1" max="78" width="0.875" style="1" customWidth="1"/>
    <col min="79" max="16384" width="0.875" style="1" customWidth="1"/>
  </cols>
  <sheetData>
    <row r="1" s="18" customFormat="1" ht="11.25" customHeight="1">
      <c r="CV1" s="19"/>
    </row>
    <row r="2" ht="15" customHeight="1">
      <c r="N2" s="2"/>
    </row>
    <row r="3" spans="1:167" ht="15">
      <c r="A3" s="137" t="s">
        <v>131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CD3" s="137" t="s">
        <v>9</v>
      </c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</row>
    <row r="4" spans="1:167" ht="29.25" customHeight="1">
      <c r="A4" s="147" t="s">
        <v>598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CD4" s="170" t="s">
        <v>561</v>
      </c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</row>
    <row r="5" spans="1:167" s="2" customFormat="1" ht="12" customHeight="1">
      <c r="A5" s="148" t="s">
        <v>16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CD5" s="171" t="s">
        <v>16</v>
      </c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</row>
    <row r="6" spans="1:167" ht="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 t="s">
        <v>599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 t="s">
        <v>562</v>
      </c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</row>
    <row r="7" spans="1:167" s="2" customFormat="1" ht="12">
      <c r="A7" s="148" t="s">
        <v>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 t="s">
        <v>8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CD7" s="166" t="s">
        <v>7</v>
      </c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 t="s">
        <v>8</v>
      </c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</row>
    <row r="8" spans="16:144" ht="15">
      <c r="P8" s="151" t="s">
        <v>2</v>
      </c>
      <c r="Q8" s="151"/>
      <c r="R8" s="135"/>
      <c r="S8" s="135"/>
      <c r="T8" s="135"/>
      <c r="U8" s="135"/>
      <c r="V8" s="135"/>
      <c r="W8" s="151" t="s">
        <v>2</v>
      </c>
      <c r="X8" s="151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7">
        <v>20</v>
      </c>
      <c r="AT8" s="137"/>
      <c r="AU8" s="137"/>
      <c r="AV8" s="137"/>
      <c r="AW8" s="137"/>
      <c r="AX8" s="137">
        <v>18</v>
      </c>
      <c r="AY8" s="137"/>
      <c r="AZ8" s="137"/>
      <c r="BA8" s="137"/>
      <c r="BB8" s="137" t="s">
        <v>102</v>
      </c>
      <c r="BC8" s="137"/>
      <c r="BD8" s="137"/>
      <c r="BE8" s="137"/>
      <c r="DB8" s="151" t="s">
        <v>2</v>
      </c>
      <c r="DC8" s="151"/>
      <c r="DD8" s="143"/>
      <c r="DE8" s="143"/>
      <c r="DF8" s="143"/>
      <c r="DG8" s="143"/>
      <c r="DH8" s="157" t="s">
        <v>2</v>
      </c>
      <c r="DI8" s="157"/>
      <c r="DJ8" s="157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58">
        <v>20</v>
      </c>
      <c r="ED8" s="158"/>
      <c r="EE8" s="158"/>
      <c r="EF8" s="158"/>
      <c r="EG8" s="153" t="s">
        <v>104</v>
      </c>
      <c r="EH8" s="153"/>
      <c r="EI8" s="153"/>
      <c r="EJ8" s="153"/>
      <c r="EK8" s="150" t="s">
        <v>3</v>
      </c>
      <c r="EL8" s="150"/>
      <c r="EM8" s="150"/>
      <c r="EN8" s="150"/>
    </row>
    <row r="9" ht="15">
      <c r="CY9" s="7"/>
    </row>
    <row r="10" spans="1:167" ht="16.5">
      <c r="A10" s="138" t="s">
        <v>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</row>
    <row r="11" spans="36:150" s="8" customFormat="1" ht="16.5">
      <c r="AJ11" s="9"/>
      <c r="AM11" s="9"/>
      <c r="BV11" s="178" t="s">
        <v>18</v>
      </c>
      <c r="BW11" s="178"/>
      <c r="BX11" s="178"/>
      <c r="BY11" s="178"/>
      <c r="BZ11" s="178"/>
      <c r="CA11" s="178"/>
      <c r="CB11" s="178"/>
      <c r="CC11" s="178"/>
      <c r="CD11" s="178"/>
      <c r="CE11" s="168" t="s">
        <v>104</v>
      </c>
      <c r="CF11" s="168"/>
      <c r="CG11" s="168"/>
      <c r="CH11" s="168"/>
      <c r="CI11" s="164" t="s">
        <v>5</v>
      </c>
      <c r="CJ11" s="164"/>
      <c r="CK11" s="164"/>
      <c r="CL11" s="164"/>
      <c r="CM11" s="164"/>
      <c r="CN11" s="164"/>
      <c r="CO11" s="164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</row>
    <row r="12" spans="94:150" ht="4.5" customHeight="1"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</row>
    <row r="13" spans="140:167" ht="16.5" customHeight="1">
      <c r="EJ13" s="16"/>
      <c r="EK13" s="16"/>
      <c r="EL13" s="16"/>
      <c r="EM13" s="16"/>
      <c r="EN13" s="16"/>
      <c r="EO13" s="169" t="s">
        <v>10</v>
      </c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</row>
    <row r="14" spans="140:167" ht="16.5" customHeight="1">
      <c r="EJ14" s="16"/>
      <c r="EK14" s="16"/>
      <c r="EL14" s="16"/>
      <c r="EM14" s="27" t="s">
        <v>17</v>
      </c>
      <c r="EN14" s="16"/>
      <c r="EO14" s="160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2"/>
    </row>
    <row r="15" spans="33:167" ht="21" customHeight="1">
      <c r="AG15" s="151" t="s">
        <v>2</v>
      </c>
      <c r="AH15" s="151"/>
      <c r="AI15" s="143"/>
      <c r="AJ15" s="143"/>
      <c r="AK15" s="143"/>
      <c r="AL15" s="143"/>
      <c r="AM15" s="157" t="s">
        <v>2</v>
      </c>
      <c r="AN15" s="157"/>
      <c r="AO15" s="157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58">
        <v>20</v>
      </c>
      <c r="BI15" s="158"/>
      <c r="BJ15" s="158"/>
      <c r="BK15" s="158"/>
      <c r="BL15" s="153"/>
      <c r="BM15" s="153"/>
      <c r="BN15" s="153"/>
      <c r="BO15" s="153"/>
      <c r="BP15" s="150" t="s">
        <v>3</v>
      </c>
      <c r="BQ15" s="150"/>
      <c r="BR15" s="150"/>
      <c r="BS15" s="150"/>
      <c r="BY15" s="11"/>
      <c r="EJ15" s="16"/>
      <c r="EK15" s="16"/>
      <c r="EL15" s="16"/>
      <c r="EM15" s="17" t="s">
        <v>11</v>
      </c>
      <c r="EN15" s="16"/>
      <c r="EO15" s="172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77:167" ht="6" customHeight="1">
      <c r="BY16" s="11"/>
      <c r="BZ16" s="11"/>
      <c r="EJ16" s="16"/>
      <c r="EK16" s="16"/>
      <c r="EL16" s="16"/>
      <c r="EM16" s="17"/>
      <c r="EN16" s="16"/>
      <c r="EO16" s="175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7"/>
    </row>
    <row r="17" spans="1:167" ht="40.5" customHeight="1">
      <c r="A17" s="149" t="s">
        <v>107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59" t="s">
        <v>564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EJ17" s="16"/>
      <c r="EK17" s="16"/>
      <c r="EL17" s="16"/>
      <c r="EM17" s="27" t="s">
        <v>12</v>
      </c>
      <c r="EN17" s="16"/>
      <c r="EO17" s="152" t="s">
        <v>563</v>
      </c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</row>
    <row r="18" spans="1:167" ht="45" customHeight="1">
      <c r="A18" s="144" t="s">
        <v>19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EJ18" s="16"/>
      <c r="EK18" s="16"/>
      <c r="EL18" s="16"/>
      <c r="EM18" s="27"/>
      <c r="EN18" s="16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</row>
    <row r="19" spans="1:167" s="12" customFormat="1" ht="16.5" customHeight="1">
      <c r="A19" s="156" t="s">
        <v>21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67" t="s">
        <v>565</v>
      </c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EJ19" s="28"/>
      <c r="EK19" s="28"/>
      <c r="EL19" s="28"/>
      <c r="EM19" s="29"/>
      <c r="EN19" s="28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</row>
    <row r="20" spans="1:167" s="12" customFormat="1" ht="16.5" customHeight="1">
      <c r="A20" s="156" t="s">
        <v>20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67" t="s">
        <v>566</v>
      </c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EJ20" s="28"/>
      <c r="EK20" s="28"/>
      <c r="EL20" s="28"/>
      <c r="EM20" s="29"/>
      <c r="EN20" s="28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</row>
    <row r="21" spans="1:167" ht="30.75" customHeight="1">
      <c r="A21" s="144" t="s">
        <v>22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59" t="s">
        <v>181</v>
      </c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EJ21" s="16"/>
      <c r="EK21" s="16"/>
      <c r="EL21" s="16"/>
      <c r="EM21" s="27" t="s">
        <v>23</v>
      </c>
      <c r="EN21" s="16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</row>
    <row r="22" spans="1:167" ht="45" customHeight="1">
      <c r="A22" s="144" t="s">
        <v>24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63" t="s">
        <v>567</v>
      </c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EJ22" s="16"/>
      <c r="EK22" s="16"/>
      <c r="EL22" s="16"/>
      <c r="EM22" s="27" t="s">
        <v>25</v>
      </c>
      <c r="EN22" s="16"/>
      <c r="EO22" s="152" t="s">
        <v>569</v>
      </c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</row>
    <row r="23" spans="1:167" s="12" customFormat="1" ht="16.5" customHeight="1">
      <c r="A23" s="156" t="s">
        <v>14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EJ23" s="28"/>
      <c r="EK23" s="28"/>
      <c r="EL23" s="28"/>
      <c r="EM23" s="27" t="s">
        <v>13</v>
      </c>
      <c r="EN23" s="28"/>
      <c r="EO23" s="160" t="s">
        <v>568</v>
      </c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2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67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87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</row>
    <row r="26" spans="1:167" ht="15">
      <c r="A26" s="19" t="s">
        <v>175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87"/>
      <c r="BW26" s="87"/>
      <c r="BX26" s="87"/>
      <c r="BY26" s="19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19"/>
      <c r="CM26" s="87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</row>
    <row r="27" spans="1:167" ht="27" customHeight="1">
      <c r="A27" s="19" t="s">
        <v>176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4" t="s">
        <v>576</v>
      </c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87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87"/>
      <c r="AO27" s="155" t="s">
        <v>577</v>
      </c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87"/>
      <c r="BH27" s="146" t="s">
        <v>578</v>
      </c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87"/>
      <c r="CE27" s="87"/>
      <c r="CF27" s="87"/>
      <c r="CG27" s="87"/>
      <c r="CH27" s="87"/>
      <c r="CI27" s="87"/>
      <c r="CJ27" s="87"/>
      <c r="CK27" s="87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87"/>
      <c r="CZ27" s="90"/>
      <c r="DA27" s="90"/>
      <c r="DB27" s="90"/>
      <c r="DC27" s="90"/>
      <c r="DD27" s="90"/>
      <c r="DE27" s="90"/>
      <c r="DF27" s="90"/>
      <c r="DG27" s="90"/>
      <c r="DH27" s="90"/>
      <c r="DI27" s="87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87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19"/>
      <c r="FK27" s="19"/>
    </row>
    <row r="28" spans="1:167" ht="15">
      <c r="A28" s="19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36" t="s">
        <v>177</v>
      </c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85"/>
      <c r="AD28" s="136" t="s">
        <v>7</v>
      </c>
      <c r="AE28" s="136"/>
      <c r="AF28" s="136"/>
      <c r="AG28" s="136"/>
      <c r="AH28" s="136"/>
      <c r="AI28" s="136"/>
      <c r="AJ28" s="136"/>
      <c r="AK28" s="136"/>
      <c r="AL28" s="136"/>
      <c r="AM28" s="136"/>
      <c r="AN28" s="85"/>
      <c r="AO28" s="136" t="s">
        <v>8</v>
      </c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85"/>
      <c r="BH28" s="145" t="s">
        <v>178</v>
      </c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9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87"/>
      <c r="CZ28" s="92"/>
      <c r="DA28" s="92"/>
      <c r="DB28" s="92"/>
      <c r="DC28" s="92"/>
      <c r="DD28" s="92"/>
      <c r="DE28" s="92"/>
      <c r="DF28" s="92"/>
      <c r="DG28" s="92"/>
      <c r="DH28" s="92"/>
      <c r="DI28" s="87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87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8"/>
      <c r="FK28" s="19"/>
    </row>
    <row r="29" spans="1:167" ht="15">
      <c r="A29" s="139" t="s">
        <v>2</v>
      </c>
      <c r="B29" s="139"/>
      <c r="C29" s="140"/>
      <c r="D29" s="140"/>
      <c r="E29" s="140"/>
      <c r="F29" s="140"/>
      <c r="G29" s="140"/>
      <c r="H29" s="141" t="s">
        <v>2</v>
      </c>
      <c r="I29" s="141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39">
        <v>20</v>
      </c>
      <c r="AH29" s="139"/>
      <c r="AI29" s="139"/>
      <c r="AJ29" s="139"/>
      <c r="AK29" s="142"/>
      <c r="AL29" s="142"/>
      <c r="AM29" s="142"/>
      <c r="AN29" s="141" t="s">
        <v>3</v>
      </c>
      <c r="AO29" s="141"/>
      <c r="AP29" s="141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87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87"/>
      <c r="BW29" s="87"/>
      <c r="BX29" s="87"/>
      <c r="BY29" s="89"/>
      <c r="BZ29" s="89"/>
      <c r="CA29" s="91"/>
      <c r="CB29" s="91"/>
      <c r="CC29" s="91"/>
      <c r="CD29" s="91"/>
      <c r="CE29" s="91"/>
      <c r="CF29" s="89"/>
      <c r="CG29" s="89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89"/>
      <c r="DF29" s="89"/>
      <c r="DG29" s="89"/>
      <c r="DH29" s="89"/>
      <c r="DI29" s="91"/>
      <c r="DJ29" s="91"/>
      <c r="DK29" s="91"/>
      <c r="DL29" s="89"/>
      <c r="DM29" s="89"/>
      <c r="DN29" s="89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19"/>
      <c r="EE29" s="19"/>
      <c r="EF29" s="19"/>
      <c r="EG29" s="19"/>
      <c r="EH29" s="87"/>
      <c r="EI29" s="87"/>
      <c r="EJ29" s="87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ht="15">
      <c r="A30" s="89"/>
      <c r="B30" s="89"/>
      <c r="C30" s="91"/>
      <c r="D30" s="91"/>
      <c r="E30" s="91"/>
      <c r="F30" s="91"/>
      <c r="G30" s="91"/>
      <c r="H30" s="89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89"/>
      <c r="AH30" s="89"/>
      <c r="AI30" s="89"/>
      <c r="AJ30" s="89"/>
      <c r="AK30" s="91"/>
      <c r="AL30" s="91"/>
      <c r="AM30" s="91"/>
      <c r="AN30" s="89"/>
      <c r="AO30" s="89"/>
      <c r="AP30" s="89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85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</row>
    <row r="31" spans="1:167" ht="15">
      <c r="A31" s="89"/>
      <c r="B31" s="89"/>
      <c r="C31" s="91"/>
      <c r="D31" s="91"/>
      <c r="E31" s="91"/>
      <c r="F31" s="91"/>
      <c r="G31" s="91"/>
      <c r="H31" s="89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89"/>
      <c r="AH31" s="89"/>
      <c r="AI31" s="89"/>
      <c r="AJ31" s="89"/>
      <c r="AK31" s="91"/>
      <c r="AL31" s="91"/>
      <c r="AM31" s="91"/>
      <c r="AN31" s="89"/>
      <c r="AO31" s="89"/>
      <c r="AP31" s="8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</row>
    <row r="32" spans="1:16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</row>
  </sheetData>
  <sheetProtection/>
  <mergeCells count="78">
    <mergeCell ref="CD3:FK3"/>
    <mergeCell ref="CD4:FK4"/>
    <mergeCell ref="CD5:FK5"/>
    <mergeCell ref="EG8:EJ8"/>
    <mergeCell ref="EK8:EN8"/>
    <mergeCell ref="BM20:DX20"/>
    <mergeCell ref="EO15:FK16"/>
    <mergeCell ref="EO14:FK14"/>
    <mergeCell ref="EC8:EF8"/>
    <mergeCell ref="BV11:CD11"/>
    <mergeCell ref="DH8:DJ8"/>
    <mergeCell ref="DD8:DG8"/>
    <mergeCell ref="DB8:DC8"/>
    <mergeCell ref="EO19:FK19"/>
    <mergeCell ref="EO17:FK17"/>
    <mergeCell ref="BM17:DX17"/>
    <mergeCell ref="BM19:DX19"/>
    <mergeCell ref="BM18:DX18"/>
    <mergeCell ref="CE11:CH11"/>
    <mergeCell ref="EO13:FK13"/>
    <mergeCell ref="CD6:DJ6"/>
    <mergeCell ref="CD7:DJ7"/>
    <mergeCell ref="DK6:FK6"/>
    <mergeCell ref="DK8:EB8"/>
    <mergeCell ref="A10:FK10"/>
    <mergeCell ref="BB8:BE8"/>
    <mergeCell ref="R8:V8"/>
    <mergeCell ref="P8:Q8"/>
    <mergeCell ref="DK7:FK7"/>
    <mergeCell ref="W8:X8"/>
    <mergeCell ref="A18:BL18"/>
    <mergeCell ref="EO18:FK18"/>
    <mergeCell ref="AS8:AW8"/>
    <mergeCell ref="EO23:FK23"/>
    <mergeCell ref="A23:BL23"/>
    <mergeCell ref="BM22:DX22"/>
    <mergeCell ref="A20:BL20"/>
    <mergeCell ref="EO20:FK20"/>
    <mergeCell ref="CI11:CO11"/>
    <mergeCell ref="EO22:FK22"/>
    <mergeCell ref="EO21:FK21"/>
    <mergeCell ref="BL15:BO15"/>
    <mergeCell ref="N27:AB27"/>
    <mergeCell ref="AD27:AM27"/>
    <mergeCell ref="AO27:BF27"/>
    <mergeCell ref="A19:BL19"/>
    <mergeCell ref="AP15:BG15"/>
    <mergeCell ref="AM15:AO15"/>
    <mergeCell ref="BH15:BK15"/>
    <mergeCell ref="BM21:DX21"/>
    <mergeCell ref="A3:BY3"/>
    <mergeCell ref="A4:BY4"/>
    <mergeCell ref="A5:BY5"/>
    <mergeCell ref="A6:Y6"/>
    <mergeCell ref="Z6:BY6"/>
    <mergeCell ref="A17:BL17"/>
    <mergeCell ref="A7:Y7"/>
    <mergeCell ref="Z7:BY7"/>
    <mergeCell ref="BP15:BS15"/>
    <mergeCell ref="AG15:AH15"/>
    <mergeCell ref="AG29:AJ29"/>
    <mergeCell ref="A22:BL22"/>
    <mergeCell ref="AO28:BF28"/>
    <mergeCell ref="BH28:BU28"/>
    <mergeCell ref="A21:BL21"/>
    <mergeCell ref="AD28:AM28"/>
    <mergeCell ref="AN29:AP29"/>
    <mergeCell ref="BH27:CC27"/>
    <mergeCell ref="Y8:AR8"/>
    <mergeCell ref="N28:AB28"/>
    <mergeCell ref="AX8:BA8"/>
    <mergeCell ref="CP11:ET12"/>
    <mergeCell ref="A29:B29"/>
    <mergeCell ref="C29:G29"/>
    <mergeCell ref="H29:I29"/>
    <mergeCell ref="J29:AF29"/>
    <mergeCell ref="AK29:AM29"/>
    <mergeCell ref="AI15:AL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0"/>
  <sheetViews>
    <sheetView zoomScaleSheetLayoutView="100" zoomScalePageLayoutView="0" workbookViewId="0" topLeftCell="A16">
      <selection activeCell="A1" sqref="A1:FE30"/>
    </sheetView>
  </sheetViews>
  <sheetFormatPr defaultColWidth="0.875" defaultRowHeight="12.75"/>
  <cols>
    <col min="1" max="16384" width="0.875" style="86" customWidth="1"/>
  </cols>
  <sheetData>
    <row r="2" spans="1:161" s="93" customFormat="1" ht="15.75">
      <c r="A2" s="429" t="s">
        <v>219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29"/>
      <c r="CN2" s="429"/>
      <c r="CO2" s="429"/>
      <c r="CP2" s="429"/>
      <c r="CQ2" s="429"/>
      <c r="CR2" s="429"/>
      <c r="CS2" s="429"/>
      <c r="CT2" s="429"/>
      <c r="CU2" s="429"/>
      <c r="CV2" s="429"/>
      <c r="CW2" s="429"/>
      <c r="CX2" s="429"/>
      <c r="CY2" s="429"/>
      <c r="CZ2" s="429"/>
      <c r="DA2" s="429"/>
      <c r="DB2" s="429"/>
      <c r="DC2" s="429"/>
      <c r="DD2" s="429"/>
      <c r="DE2" s="429"/>
      <c r="DF2" s="429"/>
      <c r="DG2" s="429"/>
      <c r="DH2" s="429"/>
      <c r="DI2" s="429"/>
      <c r="DJ2" s="429"/>
      <c r="DK2" s="429"/>
      <c r="DL2" s="429"/>
      <c r="DM2" s="429"/>
      <c r="DN2" s="429"/>
      <c r="DO2" s="429"/>
      <c r="DP2" s="429"/>
      <c r="DQ2" s="429"/>
      <c r="DR2" s="429"/>
      <c r="DS2" s="429"/>
      <c r="DT2" s="429"/>
      <c r="DU2" s="429"/>
      <c r="DV2" s="429"/>
      <c r="DW2" s="429"/>
      <c r="DX2" s="429"/>
      <c r="DY2" s="429"/>
      <c r="DZ2" s="429"/>
      <c r="EA2" s="429"/>
      <c r="EB2" s="429"/>
      <c r="EC2" s="429"/>
      <c r="ED2" s="429"/>
      <c r="EE2" s="429"/>
      <c r="EF2" s="429"/>
      <c r="EG2" s="429"/>
      <c r="EH2" s="429"/>
      <c r="EI2" s="429"/>
      <c r="EJ2" s="429"/>
      <c r="EK2" s="429"/>
      <c r="EL2" s="429"/>
      <c r="EM2" s="429"/>
      <c r="EN2" s="429"/>
      <c r="EO2" s="429"/>
      <c r="EP2" s="429"/>
      <c r="EQ2" s="429"/>
      <c r="ER2" s="429"/>
      <c r="ES2" s="429"/>
      <c r="ET2" s="429"/>
      <c r="EU2" s="429"/>
      <c r="EV2" s="429"/>
      <c r="EW2" s="429"/>
      <c r="EX2" s="429"/>
      <c r="EY2" s="429"/>
      <c r="EZ2" s="429"/>
      <c r="FA2" s="429"/>
      <c r="FB2" s="429"/>
      <c r="FC2" s="429"/>
      <c r="FD2" s="429"/>
      <c r="FE2" s="429"/>
    </row>
    <row r="4" spans="1:161" s="79" customFormat="1" ht="15">
      <c r="A4" s="199" t="s">
        <v>220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</row>
    <row r="5" ht="6" customHeight="1"/>
    <row r="6" spans="1:161" s="80" customFormat="1" ht="14.25">
      <c r="A6" s="80" t="s">
        <v>221</v>
      </c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0"/>
      <c r="DZ6" s="430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0"/>
      <c r="EY6" s="430"/>
      <c r="EZ6" s="430"/>
      <c r="FA6" s="430"/>
      <c r="FB6" s="430"/>
      <c r="FC6" s="430"/>
      <c r="FD6" s="430"/>
      <c r="FE6" s="430"/>
    </row>
    <row r="7" spans="24:161" s="80" customFormat="1" ht="6" customHeight="1"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</row>
    <row r="8" spans="1:161" s="80" customFormat="1" ht="14.25">
      <c r="A8" s="431" t="s">
        <v>222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2" t="s">
        <v>318</v>
      </c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  <c r="DN8" s="432"/>
      <c r="DO8" s="432"/>
      <c r="DP8" s="432"/>
      <c r="DQ8" s="432"/>
      <c r="DR8" s="432"/>
      <c r="DS8" s="432"/>
      <c r="DT8" s="432"/>
      <c r="DU8" s="432"/>
      <c r="DV8" s="432"/>
      <c r="DW8" s="432"/>
      <c r="DX8" s="432"/>
      <c r="DY8" s="432"/>
      <c r="DZ8" s="432"/>
      <c r="EA8" s="432"/>
      <c r="EB8" s="432"/>
      <c r="EC8" s="432"/>
      <c r="ED8" s="432"/>
      <c r="EE8" s="432"/>
      <c r="EF8" s="432"/>
      <c r="EG8" s="432"/>
      <c r="EH8" s="432"/>
      <c r="EI8" s="432"/>
      <c r="EJ8" s="432"/>
      <c r="EK8" s="432"/>
      <c r="EL8" s="432"/>
      <c r="EM8" s="432"/>
      <c r="EN8" s="432"/>
      <c r="EO8" s="432"/>
      <c r="EP8" s="432"/>
      <c r="EQ8" s="432"/>
      <c r="ER8" s="432"/>
      <c r="ES8" s="432"/>
      <c r="ET8" s="432"/>
      <c r="EU8" s="432"/>
      <c r="EV8" s="432"/>
      <c r="EW8" s="432"/>
      <c r="EX8" s="432"/>
      <c r="EY8" s="432"/>
      <c r="EZ8" s="432"/>
      <c r="FA8" s="432"/>
      <c r="FB8" s="432"/>
      <c r="FC8" s="432"/>
      <c r="FD8" s="432"/>
      <c r="FE8" s="432"/>
    </row>
    <row r="9" ht="9.75" customHeight="1"/>
    <row r="10" spans="1:161" s="79" customFormat="1" ht="15">
      <c r="A10" s="199" t="s">
        <v>223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</row>
    <row r="11" ht="10.5" customHeight="1"/>
    <row r="12" spans="1:161" s="82" customFormat="1" ht="13.5" customHeight="1">
      <c r="A12" s="419" t="s">
        <v>192</v>
      </c>
      <c r="B12" s="420"/>
      <c r="C12" s="420"/>
      <c r="D12" s="420"/>
      <c r="E12" s="420"/>
      <c r="F12" s="421"/>
      <c r="G12" s="419" t="s">
        <v>224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  <c r="Y12" s="419" t="s">
        <v>225</v>
      </c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1"/>
      <c r="AO12" s="201" t="s">
        <v>226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3"/>
      <c r="DI12" s="419" t="s">
        <v>227</v>
      </c>
      <c r="DJ12" s="420"/>
      <c r="DK12" s="420"/>
      <c r="DL12" s="420"/>
      <c r="DM12" s="420"/>
      <c r="DN12" s="420"/>
      <c r="DO12" s="420"/>
      <c r="DP12" s="420"/>
      <c r="DQ12" s="420"/>
      <c r="DR12" s="420"/>
      <c r="DS12" s="420"/>
      <c r="DT12" s="420"/>
      <c r="DU12" s="420"/>
      <c r="DV12" s="420"/>
      <c r="DW12" s="420"/>
      <c r="DX12" s="421"/>
      <c r="DY12" s="419" t="s">
        <v>228</v>
      </c>
      <c r="DZ12" s="420"/>
      <c r="EA12" s="420"/>
      <c r="EB12" s="420"/>
      <c r="EC12" s="420"/>
      <c r="ED12" s="420"/>
      <c r="EE12" s="420"/>
      <c r="EF12" s="420"/>
      <c r="EG12" s="420"/>
      <c r="EH12" s="420"/>
      <c r="EI12" s="420"/>
      <c r="EJ12" s="420"/>
      <c r="EK12" s="420"/>
      <c r="EL12" s="420"/>
      <c r="EM12" s="420"/>
      <c r="EN12" s="421"/>
      <c r="EO12" s="419" t="s">
        <v>229</v>
      </c>
      <c r="EP12" s="420"/>
      <c r="EQ12" s="420"/>
      <c r="ER12" s="420"/>
      <c r="ES12" s="420"/>
      <c r="ET12" s="420"/>
      <c r="EU12" s="420"/>
      <c r="EV12" s="420"/>
      <c r="EW12" s="420"/>
      <c r="EX12" s="420"/>
      <c r="EY12" s="420"/>
      <c r="EZ12" s="420"/>
      <c r="FA12" s="420"/>
      <c r="FB12" s="420"/>
      <c r="FC12" s="420"/>
      <c r="FD12" s="420"/>
      <c r="FE12" s="421"/>
    </row>
    <row r="13" spans="1:161" s="82" customFormat="1" ht="13.5" customHeight="1">
      <c r="A13" s="422"/>
      <c r="B13" s="423"/>
      <c r="C13" s="423"/>
      <c r="D13" s="423"/>
      <c r="E13" s="423"/>
      <c r="F13" s="424"/>
      <c r="G13" s="422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4"/>
      <c r="Y13" s="422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4"/>
      <c r="AO13" s="419" t="s">
        <v>29</v>
      </c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1"/>
      <c r="BF13" s="201" t="s">
        <v>6</v>
      </c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3"/>
      <c r="DI13" s="422"/>
      <c r="DJ13" s="423"/>
      <c r="DK13" s="423"/>
      <c r="DL13" s="423"/>
      <c r="DM13" s="423"/>
      <c r="DN13" s="423"/>
      <c r="DO13" s="423"/>
      <c r="DP13" s="423"/>
      <c r="DQ13" s="423"/>
      <c r="DR13" s="423"/>
      <c r="DS13" s="423"/>
      <c r="DT13" s="423"/>
      <c r="DU13" s="423"/>
      <c r="DV13" s="423"/>
      <c r="DW13" s="423"/>
      <c r="DX13" s="424"/>
      <c r="DY13" s="422"/>
      <c r="DZ13" s="423"/>
      <c r="EA13" s="423"/>
      <c r="EB13" s="423"/>
      <c r="EC13" s="423"/>
      <c r="ED13" s="423"/>
      <c r="EE13" s="423"/>
      <c r="EF13" s="423"/>
      <c r="EG13" s="423"/>
      <c r="EH13" s="423"/>
      <c r="EI13" s="423"/>
      <c r="EJ13" s="423"/>
      <c r="EK13" s="423"/>
      <c r="EL13" s="423"/>
      <c r="EM13" s="423"/>
      <c r="EN13" s="424"/>
      <c r="EO13" s="422"/>
      <c r="EP13" s="423"/>
      <c r="EQ13" s="423"/>
      <c r="ER13" s="423"/>
      <c r="ES13" s="423"/>
      <c r="ET13" s="423"/>
      <c r="EU13" s="423"/>
      <c r="EV13" s="423"/>
      <c r="EW13" s="423"/>
      <c r="EX13" s="423"/>
      <c r="EY13" s="423"/>
      <c r="EZ13" s="423"/>
      <c r="FA13" s="423"/>
      <c r="FB13" s="423"/>
      <c r="FC13" s="423"/>
      <c r="FD13" s="423"/>
      <c r="FE13" s="424"/>
    </row>
    <row r="14" spans="1:161" s="82" customFormat="1" ht="39.75" customHeight="1">
      <c r="A14" s="425"/>
      <c r="B14" s="426"/>
      <c r="C14" s="426"/>
      <c r="D14" s="426"/>
      <c r="E14" s="426"/>
      <c r="F14" s="427"/>
      <c r="G14" s="425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7"/>
      <c r="Y14" s="425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7"/>
      <c r="AO14" s="425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7"/>
      <c r="BF14" s="428" t="s">
        <v>230</v>
      </c>
      <c r="BG14" s="428"/>
      <c r="BH14" s="428"/>
      <c r="BI14" s="428"/>
      <c r="BJ14" s="428"/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 t="s">
        <v>231</v>
      </c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 t="s">
        <v>232</v>
      </c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425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 s="426"/>
      <c r="DV14" s="426"/>
      <c r="DW14" s="426"/>
      <c r="DX14" s="427"/>
      <c r="DY14" s="425"/>
      <c r="DZ14" s="426"/>
      <c r="EA14" s="426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7"/>
      <c r="EO14" s="425"/>
      <c r="EP14" s="426"/>
      <c r="EQ14" s="426"/>
      <c r="ER14" s="426"/>
      <c r="ES14" s="426"/>
      <c r="ET14" s="426"/>
      <c r="EU14" s="426"/>
      <c r="EV14" s="426"/>
      <c r="EW14" s="426"/>
      <c r="EX14" s="426"/>
      <c r="EY14" s="426"/>
      <c r="EZ14" s="426"/>
      <c r="FA14" s="426"/>
      <c r="FB14" s="426"/>
      <c r="FC14" s="426"/>
      <c r="FD14" s="426"/>
      <c r="FE14" s="427"/>
    </row>
    <row r="15" spans="1:161" s="83" customFormat="1" ht="12.75">
      <c r="A15" s="416">
        <v>1</v>
      </c>
      <c r="B15" s="416"/>
      <c r="C15" s="416"/>
      <c r="D15" s="416"/>
      <c r="E15" s="416"/>
      <c r="F15" s="416"/>
      <c r="G15" s="416">
        <v>2</v>
      </c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>
        <v>3</v>
      </c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>
        <v>4</v>
      </c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>
        <v>5</v>
      </c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>
        <v>6</v>
      </c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>
        <v>7</v>
      </c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>
        <v>8</v>
      </c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>
        <v>9</v>
      </c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>
        <v>10</v>
      </c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</row>
    <row r="16" spans="1:161" s="84" customFormat="1" ht="59.25" customHeight="1">
      <c r="A16" s="407" t="s">
        <v>169</v>
      </c>
      <c r="B16" s="407"/>
      <c r="C16" s="407"/>
      <c r="D16" s="407"/>
      <c r="E16" s="407"/>
      <c r="F16" s="407"/>
      <c r="G16" s="408" t="s">
        <v>333</v>
      </c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17">
        <v>11</v>
      </c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5">
        <f>BF16+BX16+CQ16</f>
        <v>56904.18</v>
      </c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18">
        <f>411950/Y16</f>
        <v>37450</v>
      </c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>
        <f>(24717+25000+20597.5)/Y16</f>
        <v>6392.23</v>
      </c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>
        <f>143681.4/Y16</f>
        <v>13061.95</v>
      </c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>
        <f>AO16*12*Y16</f>
        <v>7511351.76</v>
      </c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</row>
    <row r="17" spans="1:161" s="84" customFormat="1" ht="34.5" customHeight="1">
      <c r="A17" s="407" t="s">
        <v>37</v>
      </c>
      <c r="B17" s="407"/>
      <c r="C17" s="407"/>
      <c r="D17" s="407"/>
      <c r="E17" s="407"/>
      <c r="F17" s="407"/>
      <c r="G17" s="408" t="s">
        <v>334</v>
      </c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17">
        <v>1</v>
      </c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5">
        <f aca="true" t="shared" si="0" ref="AO17:AO28">BF17+BX17+CQ17</f>
        <v>22344.4</v>
      </c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18">
        <f>17188</f>
        <v>17188</v>
      </c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>
        <v>5156.4</v>
      </c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>
        <f>AO17*12*Y17</f>
        <v>268132.8</v>
      </c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</row>
    <row r="18" spans="1:161" s="84" customFormat="1" ht="34.5" customHeight="1">
      <c r="A18" s="407" t="s">
        <v>38</v>
      </c>
      <c r="B18" s="407"/>
      <c r="C18" s="407"/>
      <c r="D18" s="407"/>
      <c r="E18" s="407"/>
      <c r="F18" s="407"/>
      <c r="G18" s="408" t="s">
        <v>335</v>
      </c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17">
        <v>11</v>
      </c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5">
        <f t="shared" si="0"/>
        <v>30933.98</v>
      </c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18">
        <f>220215/Y18</f>
        <v>20019.55</v>
      </c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>
        <f>41534/Y18</f>
        <v>3775.82</v>
      </c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>
        <f>78524.71/Y18</f>
        <v>7138.61</v>
      </c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8"/>
      <c r="DD18" s="418"/>
      <c r="DE18" s="418"/>
      <c r="DF18" s="418"/>
      <c r="DG18" s="418"/>
      <c r="DH18" s="418"/>
      <c r="DI18" s="415"/>
      <c r="DJ18" s="415"/>
      <c r="DK18" s="415"/>
      <c r="DL18" s="415"/>
      <c r="DM18" s="415"/>
      <c r="DN18" s="415"/>
      <c r="DO18" s="415"/>
      <c r="DP18" s="415"/>
      <c r="DQ18" s="415"/>
      <c r="DR18" s="415"/>
      <c r="DS18" s="415"/>
      <c r="DT18" s="415"/>
      <c r="DU18" s="415"/>
      <c r="DV18" s="415"/>
      <c r="DW18" s="415"/>
      <c r="DX18" s="415"/>
      <c r="DY18" s="415"/>
      <c r="DZ18" s="415"/>
      <c r="EA18" s="415"/>
      <c r="EB18" s="415"/>
      <c r="EC18" s="415"/>
      <c r="ED18" s="415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>
        <f aca="true" t="shared" si="1" ref="EO18:EO28">Y18*AO18*12</f>
        <v>4083285.36</v>
      </c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</row>
    <row r="19" spans="1:161" s="84" customFormat="1" ht="36.75" customHeight="1">
      <c r="A19" s="407" t="s">
        <v>319</v>
      </c>
      <c r="B19" s="407"/>
      <c r="C19" s="407"/>
      <c r="D19" s="407"/>
      <c r="E19" s="407"/>
      <c r="F19" s="407"/>
      <c r="G19" s="408" t="s">
        <v>336</v>
      </c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17">
        <v>204.1</v>
      </c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5">
        <f t="shared" si="0"/>
        <v>19481.43</v>
      </c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18">
        <f>3017274.5/Y19</f>
        <v>14783.31</v>
      </c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>
        <f>(1500+51754.5)/Y19</f>
        <v>260.92</v>
      </c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>
        <f>905632.35/Y19</f>
        <v>4437.2</v>
      </c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8"/>
      <c r="DD19" s="418"/>
      <c r="DE19" s="418"/>
      <c r="DF19" s="418"/>
      <c r="DG19" s="418"/>
      <c r="DH19" s="418"/>
      <c r="DI19" s="415"/>
      <c r="DJ19" s="415"/>
      <c r="DK19" s="415"/>
      <c r="DL19" s="415"/>
      <c r="DM19" s="415"/>
      <c r="DN19" s="415"/>
      <c r="DO19" s="415"/>
      <c r="DP19" s="415"/>
      <c r="DQ19" s="415"/>
      <c r="DR19" s="415"/>
      <c r="DS19" s="415"/>
      <c r="DT19" s="415"/>
      <c r="DU19" s="415"/>
      <c r="DV19" s="415"/>
      <c r="DW19" s="415"/>
      <c r="DX19" s="415"/>
      <c r="DY19" s="415"/>
      <c r="DZ19" s="415"/>
      <c r="EA19" s="415"/>
      <c r="EB19" s="415"/>
      <c r="EC19" s="415"/>
      <c r="ED19" s="415"/>
      <c r="EE19" s="415"/>
      <c r="EF19" s="415"/>
      <c r="EG19" s="415"/>
      <c r="EH19" s="415"/>
      <c r="EI19" s="415"/>
      <c r="EJ19" s="415"/>
      <c r="EK19" s="415"/>
      <c r="EL19" s="415"/>
      <c r="EM19" s="415"/>
      <c r="EN19" s="415"/>
      <c r="EO19" s="415">
        <f t="shared" si="1"/>
        <v>47713918.36</v>
      </c>
      <c r="EP19" s="415"/>
      <c r="EQ19" s="415"/>
      <c r="ER19" s="415"/>
      <c r="ES19" s="415"/>
      <c r="ET19" s="415"/>
      <c r="EU19" s="415"/>
      <c r="EV19" s="415"/>
      <c r="EW19" s="415"/>
      <c r="EX19" s="415"/>
      <c r="EY19" s="415"/>
      <c r="EZ19" s="415"/>
      <c r="FA19" s="415"/>
      <c r="FB19" s="415"/>
      <c r="FC19" s="415"/>
      <c r="FD19" s="415"/>
      <c r="FE19" s="415"/>
    </row>
    <row r="20" spans="1:161" s="84" customFormat="1" ht="39.75" customHeight="1">
      <c r="A20" s="407" t="s">
        <v>320</v>
      </c>
      <c r="B20" s="407"/>
      <c r="C20" s="407"/>
      <c r="D20" s="407"/>
      <c r="E20" s="407"/>
      <c r="F20" s="407"/>
      <c r="G20" s="408" t="s">
        <v>337</v>
      </c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17">
        <v>103</v>
      </c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5">
        <f t="shared" si="0"/>
        <v>28769.31</v>
      </c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18">
        <f>2270415/Y20</f>
        <v>22042.86</v>
      </c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>
        <f>9000/Y20</f>
        <v>87.38</v>
      </c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>
        <f>683824.5/Y20</f>
        <v>6639.07</v>
      </c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5"/>
      <c r="DV20" s="415"/>
      <c r="DW20" s="415"/>
      <c r="DX20" s="415"/>
      <c r="DY20" s="415"/>
      <c r="DZ20" s="415"/>
      <c r="EA20" s="415"/>
      <c r="EB20" s="415"/>
      <c r="EC20" s="415"/>
      <c r="ED20" s="415"/>
      <c r="EE20" s="415"/>
      <c r="EF20" s="415"/>
      <c r="EG20" s="415"/>
      <c r="EH20" s="415"/>
      <c r="EI20" s="415"/>
      <c r="EJ20" s="415"/>
      <c r="EK20" s="415"/>
      <c r="EL20" s="415"/>
      <c r="EM20" s="415"/>
      <c r="EN20" s="415"/>
      <c r="EO20" s="415">
        <f t="shared" si="1"/>
        <v>35558867.16</v>
      </c>
      <c r="EP20" s="415"/>
      <c r="EQ20" s="415"/>
      <c r="ER20" s="415"/>
      <c r="ES20" s="415"/>
      <c r="ET20" s="415"/>
      <c r="EU20" s="415"/>
      <c r="EV20" s="415"/>
      <c r="EW20" s="415"/>
      <c r="EX20" s="415"/>
      <c r="EY20" s="415"/>
      <c r="EZ20" s="415"/>
      <c r="FA20" s="415"/>
      <c r="FB20" s="415"/>
      <c r="FC20" s="415"/>
      <c r="FD20" s="415"/>
      <c r="FE20" s="415"/>
    </row>
    <row r="21" spans="1:161" s="84" customFormat="1" ht="37.5" customHeight="1">
      <c r="A21" s="407" t="s">
        <v>321</v>
      </c>
      <c r="B21" s="407"/>
      <c r="C21" s="407"/>
      <c r="D21" s="407"/>
      <c r="E21" s="407"/>
      <c r="F21" s="407"/>
      <c r="G21" s="408" t="s">
        <v>338</v>
      </c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17">
        <v>9</v>
      </c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5">
        <f t="shared" si="0"/>
        <v>34261.5</v>
      </c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18">
        <f>234195/Y21</f>
        <v>26021.67</v>
      </c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>
        <f>3000/Y21</f>
        <v>333.33</v>
      </c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>
        <f>71158.5/Y21</f>
        <v>7906.5</v>
      </c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 s="415"/>
      <c r="DU21" s="415"/>
      <c r="DV21" s="415"/>
      <c r="DW21" s="415"/>
      <c r="DX21" s="415"/>
      <c r="DY21" s="415"/>
      <c r="DZ21" s="415"/>
      <c r="EA21" s="415"/>
      <c r="EB21" s="415"/>
      <c r="EC21" s="415"/>
      <c r="ED21" s="415"/>
      <c r="EE21" s="415"/>
      <c r="EF21" s="415"/>
      <c r="EG21" s="415"/>
      <c r="EH21" s="415"/>
      <c r="EI21" s="415"/>
      <c r="EJ21" s="415"/>
      <c r="EK21" s="415"/>
      <c r="EL21" s="415"/>
      <c r="EM21" s="415"/>
      <c r="EN21" s="415"/>
      <c r="EO21" s="415">
        <f t="shared" si="1"/>
        <v>3700242</v>
      </c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</row>
    <row r="22" spans="1:161" s="84" customFormat="1" ht="38.25" customHeight="1">
      <c r="A22" s="407" t="s">
        <v>322</v>
      </c>
      <c r="B22" s="407"/>
      <c r="C22" s="407"/>
      <c r="D22" s="407"/>
      <c r="E22" s="407"/>
      <c r="F22" s="407"/>
      <c r="G22" s="434" t="s">
        <v>339</v>
      </c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6"/>
      <c r="Y22" s="417">
        <v>24</v>
      </c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5">
        <f t="shared" si="0"/>
        <v>13750</v>
      </c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18">
        <f>222709/Y22</f>
        <v>9279.54</v>
      </c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>
        <f>66812.7/Y22</f>
        <v>2783.86</v>
      </c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>
        <f>40478.3/Y22</f>
        <v>1686.6</v>
      </c>
      <c r="CR22" s="418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8"/>
      <c r="DE22" s="418"/>
      <c r="DF22" s="418"/>
      <c r="DG22" s="418"/>
      <c r="DH22" s="418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>
        <f t="shared" si="1"/>
        <v>3960000</v>
      </c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</row>
    <row r="23" spans="1:161" s="84" customFormat="1" ht="44.25" customHeight="1">
      <c r="A23" s="407" t="s">
        <v>323</v>
      </c>
      <c r="B23" s="407"/>
      <c r="C23" s="407"/>
      <c r="D23" s="407"/>
      <c r="E23" s="407"/>
      <c r="F23" s="407"/>
      <c r="G23" s="434" t="s">
        <v>340</v>
      </c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6"/>
      <c r="Y23" s="417">
        <f>97.5+1</f>
        <v>98.5</v>
      </c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5">
        <f t="shared" si="0"/>
        <v>73683.96</v>
      </c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18">
        <f>(4814647.5+40115)/Y23</f>
        <v>49286.93</v>
      </c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>
        <f>(722197.12+6017.25)/Y23</f>
        <v>7393.04</v>
      </c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  <c r="CQ23" s="418">
        <f>(1661053.47+13839.68)/Y23</f>
        <v>17003.99</v>
      </c>
      <c r="CR23" s="418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8"/>
      <c r="DE23" s="418"/>
      <c r="DF23" s="418"/>
      <c r="DG23" s="418"/>
      <c r="DH23" s="418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>
        <f t="shared" si="1"/>
        <v>87094440.72</v>
      </c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</row>
    <row r="24" spans="1:161" s="84" customFormat="1" ht="36.75" customHeight="1">
      <c r="A24" s="407" t="s">
        <v>324</v>
      </c>
      <c r="B24" s="407"/>
      <c r="C24" s="407"/>
      <c r="D24" s="407"/>
      <c r="E24" s="407"/>
      <c r="F24" s="407"/>
      <c r="G24" s="408" t="s">
        <v>341</v>
      </c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17">
        <v>113</v>
      </c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5">
        <f t="shared" si="0"/>
        <v>39237.82</v>
      </c>
      <c r="AP24" s="409"/>
      <c r="AQ24" s="409"/>
      <c r="AR24" s="409"/>
      <c r="AS24" s="409"/>
      <c r="AT24" s="409"/>
      <c r="AU24" s="409"/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18">
        <f>2659577.21/Y24</f>
        <v>23536.08</v>
      </c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>
        <f>(352158.83+398936.58)/Y24</f>
        <v>6646.86</v>
      </c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>
        <f>1023201.79/Y24</f>
        <v>9054.88</v>
      </c>
      <c r="CR24" s="418"/>
      <c r="CS24" s="418"/>
      <c r="CT24" s="418"/>
      <c r="CU24" s="418"/>
      <c r="CV24" s="418"/>
      <c r="CW24" s="418"/>
      <c r="CX24" s="418"/>
      <c r="CY24" s="418"/>
      <c r="CZ24" s="418"/>
      <c r="DA24" s="418"/>
      <c r="DB24" s="418"/>
      <c r="DC24" s="418"/>
      <c r="DD24" s="418"/>
      <c r="DE24" s="418"/>
      <c r="DF24" s="418"/>
      <c r="DG24" s="418"/>
      <c r="DH24" s="418"/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>
        <f t="shared" si="1"/>
        <v>53206483.92</v>
      </c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415"/>
      <c r="FB24" s="415"/>
      <c r="FC24" s="415"/>
      <c r="FD24" s="415"/>
      <c r="FE24" s="415"/>
    </row>
    <row r="25" spans="1:161" s="84" customFormat="1" ht="15" customHeight="1">
      <c r="A25" s="407" t="s">
        <v>325</v>
      </c>
      <c r="B25" s="407"/>
      <c r="C25" s="407"/>
      <c r="D25" s="407"/>
      <c r="E25" s="407"/>
      <c r="F25" s="407"/>
      <c r="G25" s="408" t="s">
        <v>342</v>
      </c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17">
        <v>2</v>
      </c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5">
        <f t="shared" si="0"/>
        <v>35375.45</v>
      </c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18">
        <f>47325/Y25</f>
        <v>23662.5</v>
      </c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>
        <f>7098.75/Y25</f>
        <v>3549.38</v>
      </c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>
        <f>16327.13/Y25</f>
        <v>8163.57</v>
      </c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8"/>
      <c r="DE25" s="418"/>
      <c r="DF25" s="418"/>
      <c r="DG25" s="418"/>
      <c r="DH25" s="418"/>
      <c r="DI25" s="415"/>
      <c r="DJ25" s="415"/>
      <c r="DK25" s="415"/>
      <c r="DL25" s="415"/>
      <c r="DM25" s="415"/>
      <c r="DN25" s="415"/>
      <c r="DO25" s="415"/>
      <c r="DP25" s="415"/>
      <c r="DQ25" s="415"/>
      <c r="DR25" s="415"/>
      <c r="DS25" s="415"/>
      <c r="DT25" s="415"/>
      <c r="DU25" s="415"/>
      <c r="DV25" s="415"/>
      <c r="DW25" s="415"/>
      <c r="DX25" s="415"/>
      <c r="DY25" s="415"/>
      <c r="DZ25" s="415"/>
      <c r="EA25" s="415"/>
      <c r="EB25" s="415"/>
      <c r="EC25" s="415"/>
      <c r="ED25" s="415"/>
      <c r="EE25" s="415"/>
      <c r="EF25" s="415"/>
      <c r="EG25" s="415"/>
      <c r="EH25" s="415"/>
      <c r="EI25" s="415"/>
      <c r="EJ25" s="415"/>
      <c r="EK25" s="415"/>
      <c r="EL25" s="415"/>
      <c r="EM25" s="415"/>
      <c r="EN25" s="415"/>
      <c r="EO25" s="415">
        <f t="shared" si="1"/>
        <v>849010.8</v>
      </c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5"/>
      <c r="FB25" s="415"/>
      <c r="FC25" s="415"/>
      <c r="FD25" s="415"/>
      <c r="FE25" s="415"/>
    </row>
    <row r="26" spans="1:161" s="84" customFormat="1" ht="50.25" customHeight="1">
      <c r="A26" s="407" t="s">
        <v>326</v>
      </c>
      <c r="B26" s="407"/>
      <c r="C26" s="407"/>
      <c r="D26" s="407"/>
      <c r="E26" s="407"/>
      <c r="F26" s="407"/>
      <c r="G26" s="408" t="s">
        <v>343</v>
      </c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17">
        <v>15</v>
      </c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5">
        <f t="shared" si="0"/>
        <v>35513.73</v>
      </c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18">
        <f>352077/Y26</f>
        <v>23471.8</v>
      </c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>
        <f>(4886+52811.25)/Y26</f>
        <v>3846.48</v>
      </c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  <c r="CP26" s="418"/>
      <c r="CQ26" s="418">
        <f>122931.68/Y26</f>
        <v>8195.45</v>
      </c>
      <c r="CR26" s="418"/>
      <c r="CS26" s="418"/>
      <c r="CT26" s="418"/>
      <c r="CU26" s="418"/>
      <c r="CV26" s="418"/>
      <c r="CW26" s="418"/>
      <c r="CX26" s="418"/>
      <c r="CY26" s="418"/>
      <c r="CZ26" s="418"/>
      <c r="DA26" s="418"/>
      <c r="DB26" s="418"/>
      <c r="DC26" s="418"/>
      <c r="DD26" s="418"/>
      <c r="DE26" s="418"/>
      <c r="DF26" s="418"/>
      <c r="DG26" s="418"/>
      <c r="DH26" s="418"/>
      <c r="DI26" s="415"/>
      <c r="DJ26" s="415"/>
      <c r="DK26" s="415"/>
      <c r="DL26" s="415"/>
      <c r="DM26" s="415"/>
      <c r="DN26" s="415"/>
      <c r="DO26" s="415"/>
      <c r="DP26" s="415"/>
      <c r="DQ26" s="415"/>
      <c r="DR26" s="415"/>
      <c r="DS26" s="415"/>
      <c r="DT26" s="415"/>
      <c r="DU26" s="415"/>
      <c r="DV26" s="415"/>
      <c r="DW26" s="415"/>
      <c r="DX26" s="415"/>
      <c r="DY26" s="415"/>
      <c r="DZ26" s="415"/>
      <c r="EA26" s="415"/>
      <c r="EB26" s="415"/>
      <c r="EC26" s="415"/>
      <c r="ED26" s="415"/>
      <c r="EE26" s="415"/>
      <c r="EF26" s="415"/>
      <c r="EG26" s="415"/>
      <c r="EH26" s="415"/>
      <c r="EI26" s="415"/>
      <c r="EJ26" s="415"/>
      <c r="EK26" s="415"/>
      <c r="EL26" s="415"/>
      <c r="EM26" s="415"/>
      <c r="EN26" s="415"/>
      <c r="EO26" s="415">
        <f t="shared" si="1"/>
        <v>6392471.4</v>
      </c>
      <c r="EP26" s="415"/>
      <c r="EQ26" s="415"/>
      <c r="ER26" s="415"/>
      <c r="ES26" s="415"/>
      <c r="ET26" s="415"/>
      <c r="EU26" s="415"/>
      <c r="EV26" s="415"/>
      <c r="EW26" s="415"/>
      <c r="EX26" s="415"/>
      <c r="EY26" s="415"/>
      <c r="EZ26" s="415"/>
      <c r="FA26" s="415"/>
      <c r="FB26" s="415"/>
      <c r="FC26" s="415"/>
      <c r="FD26" s="415"/>
      <c r="FE26" s="415"/>
    </row>
    <row r="27" spans="1:161" s="84" customFormat="1" ht="36.75" customHeight="1">
      <c r="A27" s="407" t="s">
        <v>327</v>
      </c>
      <c r="B27" s="407"/>
      <c r="C27" s="407"/>
      <c r="D27" s="407"/>
      <c r="E27" s="407"/>
      <c r="F27" s="407"/>
      <c r="G27" s="408" t="s">
        <v>344</v>
      </c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17">
        <v>28</v>
      </c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5">
        <f t="shared" si="0"/>
        <v>35427.06</v>
      </c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18">
        <f>659267.5/Y27</f>
        <v>23545.27</v>
      </c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>
        <f>(4886+98890.13)/Y27</f>
        <v>3706.29</v>
      </c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  <c r="CQ27" s="418">
        <f>228914.1/Y27</f>
        <v>8175.5</v>
      </c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8"/>
      <c r="DE27" s="418"/>
      <c r="DF27" s="418"/>
      <c r="DG27" s="418"/>
      <c r="DH27" s="418"/>
      <c r="DI27" s="415"/>
      <c r="DJ27" s="415"/>
      <c r="DK27" s="415"/>
      <c r="DL27" s="415"/>
      <c r="DM27" s="415"/>
      <c r="DN27" s="415"/>
      <c r="DO27" s="415"/>
      <c r="DP27" s="415"/>
      <c r="DQ27" s="415"/>
      <c r="DR27" s="415"/>
      <c r="DS27" s="415"/>
      <c r="DT27" s="415"/>
      <c r="DU27" s="415"/>
      <c r="DV27" s="415"/>
      <c r="DW27" s="415"/>
      <c r="DX27" s="415"/>
      <c r="DY27" s="415"/>
      <c r="DZ27" s="415"/>
      <c r="EA27" s="415"/>
      <c r="EB27" s="415"/>
      <c r="EC27" s="415"/>
      <c r="ED27" s="415"/>
      <c r="EE27" s="415"/>
      <c r="EF27" s="415"/>
      <c r="EG27" s="415"/>
      <c r="EH27" s="415"/>
      <c r="EI27" s="415"/>
      <c r="EJ27" s="415"/>
      <c r="EK27" s="415"/>
      <c r="EL27" s="415"/>
      <c r="EM27" s="415"/>
      <c r="EN27" s="415"/>
      <c r="EO27" s="415">
        <f t="shared" si="1"/>
        <v>11903492.16</v>
      </c>
      <c r="EP27" s="415"/>
      <c r="EQ27" s="415"/>
      <c r="ER27" s="415"/>
      <c r="ES27" s="415"/>
      <c r="ET27" s="415"/>
      <c r="EU27" s="415"/>
      <c r="EV27" s="415"/>
      <c r="EW27" s="415"/>
      <c r="EX27" s="415"/>
      <c r="EY27" s="415"/>
      <c r="EZ27" s="415"/>
      <c r="FA27" s="415"/>
      <c r="FB27" s="415"/>
      <c r="FC27" s="415"/>
      <c r="FD27" s="415"/>
      <c r="FE27" s="415"/>
    </row>
    <row r="28" spans="1:161" s="84" customFormat="1" ht="48.75" customHeight="1">
      <c r="A28" s="407" t="s">
        <v>328</v>
      </c>
      <c r="B28" s="407"/>
      <c r="C28" s="407"/>
      <c r="D28" s="407"/>
      <c r="E28" s="407"/>
      <c r="F28" s="407"/>
      <c r="G28" s="408" t="s">
        <v>345</v>
      </c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17">
        <v>20</v>
      </c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5">
        <f t="shared" si="0"/>
        <v>36492.95</v>
      </c>
      <c r="AP28" s="409"/>
      <c r="AQ28" s="409"/>
      <c r="AR28" s="409"/>
      <c r="AS28" s="409"/>
      <c r="AT28" s="409"/>
      <c r="AU28" s="409"/>
      <c r="AV28" s="409"/>
      <c r="AW28" s="409"/>
      <c r="AX28" s="409"/>
      <c r="AY28" s="409"/>
      <c r="AZ28" s="409"/>
      <c r="BA28" s="409"/>
      <c r="BB28" s="409"/>
      <c r="BC28" s="409"/>
      <c r="BD28" s="409"/>
      <c r="BE28" s="409"/>
      <c r="BF28" s="418">
        <f>488200/Y28</f>
        <v>24410</v>
      </c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>
        <f>73230/Y28</f>
        <v>3661.5</v>
      </c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>
        <f>168429/Y28</f>
        <v>8421.45</v>
      </c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8"/>
      <c r="DE28" s="418"/>
      <c r="DF28" s="418"/>
      <c r="DG28" s="418"/>
      <c r="DH28" s="418"/>
      <c r="DI28" s="415"/>
      <c r="DJ28" s="415"/>
      <c r="DK28" s="415"/>
      <c r="DL28" s="415"/>
      <c r="DM28" s="415"/>
      <c r="DN28" s="415"/>
      <c r="DO28" s="415"/>
      <c r="DP28" s="415"/>
      <c r="DQ28" s="415"/>
      <c r="DR28" s="415"/>
      <c r="DS28" s="415"/>
      <c r="DT28" s="415"/>
      <c r="DU28" s="415"/>
      <c r="DV28" s="415"/>
      <c r="DW28" s="415"/>
      <c r="DX28" s="415"/>
      <c r="DY28" s="415"/>
      <c r="DZ28" s="415"/>
      <c r="EA28" s="415"/>
      <c r="EB28" s="415"/>
      <c r="EC28" s="415"/>
      <c r="ED28" s="415"/>
      <c r="EE28" s="415"/>
      <c r="EF28" s="415"/>
      <c r="EG28" s="415"/>
      <c r="EH28" s="415"/>
      <c r="EI28" s="415"/>
      <c r="EJ28" s="415"/>
      <c r="EK28" s="415"/>
      <c r="EL28" s="415"/>
      <c r="EM28" s="415"/>
      <c r="EN28" s="415"/>
      <c r="EO28" s="433">
        <f t="shared" si="1"/>
        <v>8758308</v>
      </c>
      <c r="EP28" s="433"/>
      <c r="EQ28" s="433"/>
      <c r="ER28" s="433"/>
      <c r="ES28" s="433"/>
      <c r="ET28" s="433"/>
      <c r="EU28" s="433"/>
      <c r="EV28" s="433"/>
      <c r="EW28" s="433"/>
      <c r="EX28" s="433"/>
      <c r="EY28" s="433"/>
      <c r="EZ28" s="433"/>
      <c r="FA28" s="433"/>
      <c r="FB28" s="433"/>
      <c r="FC28" s="433"/>
      <c r="FD28" s="433"/>
      <c r="FE28" s="433"/>
    </row>
    <row r="29" spans="1:161" s="84" customFormat="1" ht="15" customHeight="1">
      <c r="A29" s="407"/>
      <c r="B29" s="407"/>
      <c r="C29" s="407"/>
      <c r="D29" s="407"/>
      <c r="E29" s="407"/>
      <c r="F29" s="407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09"/>
      <c r="DX29" s="409"/>
      <c r="DY29" s="409"/>
      <c r="DZ29" s="409"/>
      <c r="EA29" s="409"/>
      <c r="EB29" s="409"/>
      <c r="EC29" s="409"/>
      <c r="ED29" s="409"/>
      <c r="EE29" s="409"/>
      <c r="EF29" s="409"/>
      <c r="EG29" s="409"/>
      <c r="EH29" s="409"/>
      <c r="EI29" s="409"/>
      <c r="EJ29" s="409"/>
      <c r="EK29" s="409"/>
      <c r="EL29" s="409"/>
      <c r="EM29" s="409"/>
      <c r="EN29" s="409"/>
      <c r="EO29" s="409"/>
      <c r="EP29" s="409"/>
      <c r="EQ29" s="409"/>
      <c r="ER29" s="409"/>
      <c r="ES29" s="409"/>
      <c r="ET29" s="409"/>
      <c r="EU29" s="409"/>
      <c r="EV29" s="409"/>
      <c r="EW29" s="409"/>
      <c r="EX29" s="409"/>
      <c r="EY29" s="409"/>
      <c r="EZ29" s="409"/>
      <c r="FA29" s="409"/>
      <c r="FB29" s="409"/>
      <c r="FC29" s="409"/>
      <c r="FD29" s="409"/>
      <c r="FE29" s="409"/>
    </row>
    <row r="30" spans="1:161" s="84" customFormat="1" ht="15" customHeight="1">
      <c r="A30" s="410" t="s">
        <v>233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2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/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4">
        <v>271000000</v>
      </c>
      <c r="EP30" s="414"/>
      <c r="EQ30" s="414"/>
      <c r="ER30" s="414"/>
      <c r="ES30" s="414"/>
      <c r="ET30" s="414"/>
      <c r="EU30" s="414"/>
      <c r="EV30" s="414"/>
      <c r="EW30" s="414"/>
      <c r="EX30" s="414"/>
      <c r="EY30" s="414"/>
      <c r="EZ30" s="414"/>
      <c r="FA30" s="414"/>
      <c r="FB30" s="414"/>
      <c r="FC30" s="414"/>
      <c r="FD30" s="414"/>
      <c r="FE30" s="414"/>
    </row>
  </sheetData>
  <sheetProtection/>
  <mergeCells count="177">
    <mergeCell ref="CQ24:DH24"/>
    <mergeCell ref="DI24:DX24"/>
    <mergeCell ref="DY24:EN24"/>
    <mergeCell ref="EO24:FE24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1:DH21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0:DH20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1:CP21"/>
    <mergeCell ref="CQ19:DH19"/>
    <mergeCell ref="DI19:DX19"/>
    <mergeCell ref="DY19:EN19"/>
    <mergeCell ref="EO19:FE19"/>
    <mergeCell ref="A20:F20"/>
    <mergeCell ref="G20:X20"/>
    <mergeCell ref="Y20:AN20"/>
    <mergeCell ref="AO20:BE20"/>
    <mergeCell ref="BF20:BW20"/>
    <mergeCell ref="BX20:CP20"/>
    <mergeCell ref="CQ18:DH18"/>
    <mergeCell ref="DI18:DX18"/>
    <mergeCell ref="DY18:EN18"/>
    <mergeCell ref="EO18:FE18"/>
    <mergeCell ref="A19:F19"/>
    <mergeCell ref="G19:X19"/>
    <mergeCell ref="Y19:AN19"/>
    <mergeCell ref="AO19:BE19"/>
    <mergeCell ref="BF19:BW19"/>
    <mergeCell ref="BX19:CP19"/>
    <mergeCell ref="A18:F18"/>
    <mergeCell ref="G18:X18"/>
    <mergeCell ref="Y18:AN18"/>
    <mergeCell ref="AO18:BE18"/>
    <mergeCell ref="BF18:BW18"/>
    <mergeCell ref="BX18:CP18"/>
    <mergeCell ref="CQ28:DH28"/>
    <mergeCell ref="DI28:DX28"/>
    <mergeCell ref="DY28:EN28"/>
    <mergeCell ref="EO28:FE28"/>
    <mergeCell ref="CQ27:DH27"/>
    <mergeCell ref="DI27:DX27"/>
    <mergeCell ref="DY27:EN27"/>
    <mergeCell ref="EO27:FE27"/>
    <mergeCell ref="A28:F28"/>
    <mergeCell ref="G28:X28"/>
    <mergeCell ref="Y28:AN28"/>
    <mergeCell ref="AO28:BE28"/>
    <mergeCell ref="BF28:BW28"/>
    <mergeCell ref="BX28:CP28"/>
    <mergeCell ref="CQ26:DH26"/>
    <mergeCell ref="DI26:DX26"/>
    <mergeCell ref="DY26:EN26"/>
    <mergeCell ref="EO26:FE26"/>
    <mergeCell ref="A27:F27"/>
    <mergeCell ref="G27:X27"/>
    <mergeCell ref="Y27:AN27"/>
    <mergeCell ref="AO27:BE27"/>
    <mergeCell ref="BF27:BW27"/>
    <mergeCell ref="BX27:CP27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17:DH17"/>
    <mergeCell ref="DI17:DX17"/>
    <mergeCell ref="DY17:EN17"/>
    <mergeCell ref="EO17:FE17"/>
    <mergeCell ref="A25:F25"/>
    <mergeCell ref="G25:X25"/>
    <mergeCell ref="Y25:AN25"/>
    <mergeCell ref="AO25:BE25"/>
    <mergeCell ref="BF25:BW25"/>
    <mergeCell ref="BX25:CP25"/>
    <mergeCell ref="A17:F17"/>
    <mergeCell ref="G17:X17"/>
    <mergeCell ref="Y17:AN17"/>
    <mergeCell ref="AO17:BE17"/>
    <mergeCell ref="BF17:BW17"/>
    <mergeCell ref="BX17:CP17"/>
    <mergeCell ref="A2:FE2"/>
    <mergeCell ref="A4:FE4"/>
    <mergeCell ref="X6:FE6"/>
    <mergeCell ref="A8:AO8"/>
    <mergeCell ref="AP8:FE8"/>
    <mergeCell ref="A10:FE10"/>
    <mergeCell ref="A12:F14"/>
    <mergeCell ref="G12:X14"/>
    <mergeCell ref="Y12:AN14"/>
    <mergeCell ref="AO12:DH12"/>
    <mergeCell ref="DI12:DX14"/>
    <mergeCell ref="DY12:EN14"/>
    <mergeCell ref="EO12:FE14"/>
    <mergeCell ref="AO13:BE14"/>
    <mergeCell ref="BF13:DH13"/>
    <mergeCell ref="BX16:CP16"/>
    <mergeCell ref="CQ16:DH16"/>
    <mergeCell ref="BF14:BW14"/>
    <mergeCell ref="BX14:CP14"/>
    <mergeCell ref="CQ14:DH14"/>
    <mergeCell ref="BF15:BW15"/>
    <mergeCell ref="BX15:CP15"/>
    <mergeCell ref="DI15:DX15"/>
    <mergeCell ref="DY15:EN15"/>
    <mergeCell ref="A15:F15"/>
    <mergeCell ref="G15:X15"/>
    <mergeCell ref="Y15:AN15"/>
    <mergeCell ref="AO15:BE15"/>
    <mergeCell ref="DI16:DX16"/>
    <mergeCell ref="DY16:EN16"/>
    <mergeCell ref="EO15:FE15"/>
    <mergeCell ref="A16:F16"/>
    <mergeCell ref="G16:X16"/>
    <mergeCell ref="Y16:AN16"/>
    <mergeCell ref="AO16:BE16"/>
    <mergeCell ref="BF16:BW16"/>
    <mergeCell ref="EO16:FE16"/>
    <mergeCell ref="CQ15:DH15"/>
    <mergeCell ref="BX30:CP30"/>
    <mergeCell ref="BX29:CP29"/>
    <mergeCell ref="CQ29:DH29"/>
    <mergeCell ref="DI29:DX29"/>
    <mergeCell ref="DY29:EN29"/>
    <mergeCell ref="EO29:FE29"/>
    <mergeCell ref="DY30:EN30"/>
    <mergeCell ref="EO30:FE30"/>
    <mergeCell ref="CQ30:DH30"/>
    <mergeCell ref="DI30:DX30"/>
    <mergeCell ref="A29:F29"/>
    <mergeCell ref="G29:X29"/>
    <mergeCell ref="Y29:AN29"/>
    <mergeCell ref="AO29:BE29"/>
    <mergeCell ref="BF29:BW29"/>
    <mergeCell ref="A30:X30"/>
    <mergeCell ref="Y30:AN30"/>
    <mergeCell ref="AO30:BE30"/>
    <mergeCell ref="BF30:BW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A147"/>
  <sheetViews>
    <sheetView zoomScaleSheetLayoutView="89" zoomScalePageLayoutView="0" workbookViewId="0" topLeftCell="A34">
      <selection activeCell="A2" sqref="A2:DA37"/>
    </sheetView>
  </sheetViews>
  <sheetFormatPr defaultColWidth="0.875" defaultRowHeight="12" customHeight="1"/>
  <cols>
    <col min="1" max="16384" width="0.875" style="79" customWidth="1"/>
  </cols>
  <sheetData>
    <row r="1" ht="3" customHeight="1"/>
    <row r="2" spans="1:105" s="80" customFormat="1" ht="14.25">
      <c r="A2" s="199" t="s">
        <v>235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</row>
    <row r="3" ht="10.5" customHeight="1"/>
    <row r="4" spans="1:105" s="82" customFormat="1" ht="45" customHeight="1">
      <c r="A4" s="419" t="s">
        <v>192</v>
      </c>
      <c r="B4" s="420"/>
      <c r="C4" s="420"/>
      <c r="D4" s="420"/>
      <c r="E4" s="420"/>
      <c r="F4" s="421"/>
      <c r="G4" s="419" t="s">
        <v>236</v>
      </c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1"/>
      <c r="AE4" s="419" t="s">
        <v>237</v>
      </c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1"/>
      <c r="BD4" s="419" t="s">
        <v>238</v>
      </c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1"/>
      <c r="BT4" s="419" t="s">
        <v>239</v>
      </c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1"/>
      <c r="CJ4" s="419" t="s">
        <v>240</v>
      </c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  <c r="CX4" s="420"/>
      <c r="CY4" s="420"/>
      <c r="CZ4" s="420"/>
      <c r="DA4" s="421"/>
    </row>
    <row r="5" spans="1:105" s="83" customFormat="1" ht="12.75">
      <c r="A5" s="416">
        <v>1</v>
      </c>
      <c r="B5" s="416"/>
      <c r="C5" s="416"/>
      <c r="D5" s="416"/>
      <c r="E5" s="416"/>
      <c r="F5" s="416"/>
      <c r="G5" s="416">
        <v>2</v>
      </c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>
        <v>3</v>
      </c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>
        <v>4</v>
      </c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>
        <v>5</v>
      </c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>
        <v>6</v>
      </c>
      <c r="CK5" s="416"/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</row>
    <row r="6" spans="1:105" s="84" customFormat="1" ht="38.25" customHeight="1">
      <c r="A6" s="407" t="s">
        <v>169</v>
      </c>
      <c r="B6" s="407"/>
      <c r="C6" s="407"/>
      <c r="D6" s="407"/>
      <c r="E6" s="407"/>
      <c r="F6" s="407"/>
      <c r="G6" s="408" t="s">
        <v>346</v>
      </c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71">
        <v>1869.21</v>
      </c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09">
        <v>105</v>
      </c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>
        <v>4.5</v>
      </c>
      <c r="BU6" s="409"/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  <c r="CJ6" s="471">
        <f>(AE6*BD6*BT6)-1.73</f>
        <v>883200</v>
      </c>
      <c r="CK6" s="471"/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</row>
    <row r="7" spans="1:105" s="84" customFormat="1" ht="59.25" customHeight="1">
      <c r="A7" s="407" t="s">
        <v>37</v>
      </c>
      <c r="B7" s="407"/>
      <c r="C7" s="407"/>
      <c r="D7" s="407"/>
      <c r="E7" s="407"/>
      <c r="F7" s="407"/>
      <c r="G7" s="408" t="s">
        <v>347</v>
      </c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71">
        <v>400000</v>
      </c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</row>
    <row r="8" spans="1:105" s="84" customFormat="1" ht="15" customHeight="1">
      <c r="A8" s="407"/>
      <c r="B8" s="407"/>
      <c r="C8" s="407"/>
      <c r="D8" s="407"/>
      <c r="E8" s="407"/>
      <c r="F8" s="407"/>
      <c r="G8" s="437" t="s">
        <v>233</v>
      </c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8"/>
      <c r="AE8" s="409" t="s">
        <v>234</v>
      </c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 t="s">
        <v>234</v>
      </c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 t="s">
        <v>234</v>
      </c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71">
        <f>SUM(CJ6:CJ7)</f>
        <v>1283200</v>
      </c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</row>
    <row r="10" spans="1:105" s="80" customFormat="1" ht="14.25">
      <c r="A10" s="199" t="s">
        <v>241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</row>
    <row r="11" ht="10.5" customHeight="1"/>
    <row r="12" spans="1:105" s="82" customFormat="1" ht="55.5" customHeight="1">
      <c r="A12" s="419" t="s">
        <v>192</v>
      </c>
      <c r="B12" s="420"/>
      <c r="C12" s="420"/>
      <c r="D12" s="420"/>
      <c r="E12" s="420"/>
      <c r="F12" s="421"/>
      <c r="G12" s="419" t="s">
        <v>236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  <c r="AE12" s="419" t="s">
        <v>242</v>
      </c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1"/>
      <c r="AZ12" s="419" t="s">
        <v>243</v>
      </c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1"/>
      <c r="BR12" s="419" t="s">
        <v>244</v>
      </c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1"/>
      <c r="CJ12" s="419" t="s">
        <v>240</v>
      </c>
      <c r="CK12" s="420"/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1"/>
    </row>
    <row r="13" spans="1:105" s="83" customFormat="1" ht="12.75">
      <c r="A13" s="416">
        <v>1</v>
      </c>
      <c r="B13" s="416"/>
      <c r="C13" s="416"/>
      <c r="D13" s="416"/>
      <c r="E13" s="416"/>
      <c r="F13" s="416"/>
      <c r="G13" s="416">
        <v>2</v>
      </c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>
        <v>3</v>
      </c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>
        <v>4</v>
      </c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>
        <v>5</v>
      </c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>
        <v>6</v>
      </c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</row>
    <row r="14" spans="1:105" s="84" customFormat="1" ht="31.5" customHeight="1">
      <c r="A14" s="407" t="s">
        <v>169</v>
      </c>
      <c r="B14" s="407"/>
      <c r="C14" s="407"/>
      <c r="D14" s="407"/>
      <c r="E14" s="407"/>
      <c r="F14" s="407"/>
      <c r="G14" s="408" t="s">
        <v>348</v>
      </c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9">
        <v>28</v>
      </c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>
        <v>12</v>
      </c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190">
        <v>50</v>
      </c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2"/>
      <c r="CJ14" s="471">
        <v>16800</v>
      </c>
      <c r="CK14" s="471"/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</row>
    <row r="15" spans="1:105" s="84" customFormat="1" ht="15" customHeight="1">
      <c r="A15" s="407"/>
      <c r="B15" s="407"/>
      <c r="C15" s="407"/>
      <c r="D15" s="407"/>
      <c r="E15" s="407"/>
      <c r="F15" s="407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409"/>
      <c r="CW15" s="409"/>
      <c r="CX15" s="409"/>
      <c r="CY15" s="409"/>
      <c r="CZ15" s="409"/>
      <c r="DA15" s="409"/>
    </row>
    <row r="16" spans="1:105" s="84" customFormat="1" ht="15" customHeight="1">
      <c r="A16" s="407"/>
      <c r="B16" s="407"/>
      <c r="C16" s="407"/>
      <c r="D16" s="407"/>
      <c r="E16" s="407"/>
      <c r="F16" s="407"/>
      <c r="G16" s="437" t="s">
        <v>233</v>
      </c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8"/>
      <c r="AE16" s="409" t="s">
        <v>234</v>
      </c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 t="s">
        <v>234</v>
      </c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 t="s">
        <v>234</v>
      </c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71">
        <f>SUM(CJ14:CJ15)</f>
        <v>16800</v>
      </c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</row>
    <row r="18" spans="1:105" s="80" customFormat="1" ht="41.25" customHeight="1">
      <c r="A18" s="439" t="s">
        <v>245</v>
      </c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</row>
    <row r="19" ht="10.5" customHeight="1"/>
    <row r="20" spans="1:105" ht="55.5" customHeight="1">
      <c r="A20" s="419" t="s">
        <v>192</v>
      </c>
      <c r="B20" s="420"/>
      <c r="C20" s="420"/>
      <c r="D20" s="420"/>
      <c r="E20" s="420"/>
      <c r="F20" s="421"/>
      <c r="G20" s="419" t="s">
        <v>246</v>
      </c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1"/>
      <c r="BW20" s="419" t="s">
        <v>247</v>
      </c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1"/>
      <c r="CM20" s="419" t="s">
        <v>248</v>
      </c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0"/>
      <c r="DA20" s="421"/>
    </row>
    <row r="21" spans="1:105" s="86" customFormat="1" ht="12.75">
      <c r="A21" s="416">
        <v>1</v>
      </c>
      <c r="B21" s="416"/>
      <c r="C21" s="416"/>
      <c r="D21" s="416"/>
      <c r="E21" s="416"/>
      <c r="F21" s="416"/>
      <c r="G21" s="416">
        <v>2</v>
      </c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>
        <v>3</v>
      </c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>
        <v>4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</row>
    <row r="22" spans="1:105" ht="15" customHeight="1">
      <c r="A22" s="407" t="s">
        <v>169</v>
      </c>
      <c r="B22" s="407"/>
      <c r="C22" s="407"/>
      <c r="D22" s="407"/>
      <c r="E22" s="407"/>
      <c r="F22" s="407"/>
      <c r="G22" s="96"/>
      <c r="H22" s="435" t="s">
        <v>249</v>
      </c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6"/>
      <c r="BW22" s="409" t="s">
        <v>234</v>
      </c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09"/>
      <c r="DA22" s="409"/>
    </row>
    <row r="23" spans="1:105" s="86" customFormat="1" ht="12.75">
      <c r="A23" s="455" t="s">
        <v>250</v>
      </c>
      <c r="B23" s="456"/>
      <c r="C23" s="456"/>
      <c r="D23" s="456"/>
      <c r="E23" s="456"/>
      <c r="F23" s="457"/>
      <c r="G23" s="97"/>
      <c r="H23" s="461" t="s">
        <v>6</v>
      </c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2"/>
      <c r="BW23" s="463">
        <v>271000000</v>
      </c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5"/>
      <c r="CM23" s="463">
        <f>BW23*0.22</f>
        <v>59620000</v>
      </c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4"/>
      <c r="CZ23" s="464"/>
      <c r="DA23" s="465"/>
    </row>
    <row r="24" spans="1:105" s="86" customFormat="1" ht="12.75">
      <c r="A24" s="458"/>
      <c r="B24" s="459"/>
      <c r="C24" s="459"/>
      <c r="D24" s="459"/>
      <c r="E24" s="459"/>
      <c r="F24" s="460"/>
      <c r="G24" s="98"/>
      <c r="H24" s="469" t="s">
        <v>251</v>
      </c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70"/>
      <c r="BW24" s="466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8"/>
      <c r="CM24" s="466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8"/>
    </row>
    <row r="25" spans="1:105" s="86" customFormat="1" ht="13.5" customHeight="1">
      <c r="A25" s="407" t="s">
        <v>252</v>
      </c>
      <c r="B25" s="407"/>
      <c r="C25" s="407"/>
      <c r="D25" s="407"/>
      <c r="E25" s="407"/>
      <c r="F25" s="407"/>
      <c r="G25" s="96"/>
      <c r="H25" s="453" t="s">
        <v>253</v>
      </c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4"/>
      <c r="BW25" s="450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2"/>
      <c r="CM25" s="450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/>
      <c r="CX25" s="451"/>
      <c r="CY25" s="451"/>
      <c r="CZ25" s="451"/>
      <c r="DA25" s="452"/>
    </row>
    <row r="26" spans="1:105" s="86" customFormat="1" ht="26.25" customHeight="1">
      <c r="A26" s="407" t="s">
        <v>254</v>
      </c>
      <c r="B26" s="407"/>
      <c r="C26" s="407"/>
      <c r="D26" s="407"/>
      <c r="E26" s="407"/>
      <c r="F26" s="407"/>
      <c r="G26" s="96"/>
      <c r="H26" s="453" t="s">
        <v>255</v>
      </c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  <c r="AT26" s="453"/>
      <c r="AU26" s="453"/>
      <c r="AV26" s="453"/>
      <c r="AW26" s="453"/>
      <c r="AX26" s="453"/>
      <c r="AY26" s="453"/>
      <c r="AZ26" s="453"/>
      <c r="BA26" s="453"/>
      <c r="BB26" s="453"/>
      <c r="BC26" s="453"/>
      <c r="BD26" s="453"/>
      <c r="BE26" s="453"/>
      <c r="BF26" s="453"/>
      <c r="BG26" s="453"/>
      <c r="BH26" s="453"/>
      <c r="BI26" s="453"/>
      <c r="BJ26" s="453"/>
      <c r="BK26" s="453"/>
      <c r="BL26" s="453"/>
      <c r="BM26" s="453"/>
      <c r="BN26" s="453"/>
      <c r="BO26" s="453"/>
      <c r="BP26" s="453"/>
      <c r="BQ26" s="453"/>
      <c r="BR26" s="453"/>
      <c r="BS26" s="453"/>
      <c r="BT26" s="453"/>
      <c r="BU26" s="453"/>
      <c r="BV26" s="454"/>
      <c r="BW26" s="450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2"/>
      <c r="CM26" s="450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/>
      <c r="CX26" s="451"/>
      <c r="CY26" s="451"/>
      <c r="CZ26" s="451"/>
      <c r="DA26" s="452"/>
    </row>
    <row r="27" spans="1:105" s="86" customFormat="1" ht="26.25" customHeight="1">
      <c r="A27" s="407" t="s">
        <v>37</v>
      </c>
      <c r="B27" s="407"/>
      <c r="C27" s="407"/>
      <c r="D27" s="407"/>
      <c r="E27" s="407"/>
      <c r="F27" s="407"/>
      <c r="G27" s="96"/>
      <c r="H27" s="435" t="s">
        <v>256</v>
      </c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5"/>
      <c r="BU27" s="435"/>
      <c r="BV27" s="436"/>
      <c r="BW27" s="450" t="s">
        <v>234</v>
      </c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2"/>
      <c r="CM27" s="450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/>
      <c r="CX27" s="451"/>
      <c r="CY27" s="451"/>
      <c r="CZ27" s="451"/>
      <c r="DA27" s="452"/>
    </row>
    <row r="28" spans="1:105" s="86" customFormat="1" ht="12.75">
      <c r="A28" s="455" t="s">
        <v>257</v>
      </c>
      <c r="B28" s="456"/>
      <c r="C28" s="456"/>
      <c r="D28" s="456"/>
      <c r="E28" s="456"/>
      <c r="F28" s="457"/>
      <c r="G28" s="97"/>
      <c r="H28" s="461" t="s">
        <v>6</v>
      </c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2"/>
      <c r="BW28" s="463">
        <v>271000000</v>
      </c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5"/>
      <c r="CM28" s="463">
        <f>BW28*0.029</f>
        <v>7859000</v>
      </c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5"/>
    </row>
    <row r="29" spans="1:105" s="86" customFormat="1" ht="25.5" customHeight="1">
      <c r="A29" s="458"/>
      <c r="B29" s="459"/>
      <c r="C29" s="459"/>
      <c r="D29" s="459"/>
      <c r="E29" s="459"/>
      <c r="F29" s="460"/>
      <c r="G29" s="98"/>
      <c r="H29" s="469" t="s">
        <v>258</v>
      </c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70"/>
      <c r="BW29" s="466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8"/>
      <c r="CM29" s="466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8"/>
    </row>
    <row r="30" spans="1:105" s="86" customFormat="1" ht="26.25" customHeight="1">
      <c r="A30" s="407" t="s">
        <v>259</v>
      </c>
      <c r="B30" s="407"/>
      <c r="C30" s="407"/>
      <c r="D30" s="407"/>
      <c r="E30" s="407"/>
      <c r="F30" s="407"/>
      <c r="G30" s="96"/>
      <c r="H30" s="453" t="s">
        <v>260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4"/>
      <c r="BW30" s="450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2"/>
      <c r="CM30" s="450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/>
      <c r="CX30" s="451"/>
      <c r="CY30" s="451"/>
      <c r="CZ30" s="451"/>
      <c r="DA30" s="452"/>
    </row>
    <row r="31" spans="1:105" s="86" customFormat="1" ht="27" customHeight="1">
      <c r="A31" s="407" t="s">
        <v>261</v>
      </c>
      <c r="B31" s="407"/>
      <c r="C31" s="407"/>
      <c r="D31" s="407"/>
      <c r="E31" s="407"/>
      <c r="F31" s="407"/>
      <c r="G31" s="96"/>
      <c r="H31" s="453" t="s">
        <v>262</v>
      </c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3"/>
      <c r="BV31" s="454"/>
      <c r="BW31" s="450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2"/>
      <c r="CM31" s="450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2"/>
    </row>
    <row r="32" spans="1:105" s="86" customFormat="1" ht="27" customHeight="1">
      <c r="A32" s="407" t="s">
        <v>263</v>
      </c>
      <c r="B32" s="407"/>
      <c r="C32" s="407"/>
      <c r="D32" s="407"/>
      <c r="E32" s="407"/>
      <c r="F32" s="407"/>
      <c r="G32" s="96"/>
      <c r="H32" s="453" t="s">
        <v>264</v>
      </c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4"/>
      <c r="BW32" s="450">
        <v>271000000</v>
      </c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2"/>
      <c r="CM32" s="450">
        <f>BW32*0.2/100</f>
        <v>542000</v>
      </c>
      <c r="CN32" s="451"/>
      <c r="CO32" s="451"/>
      <c r="CP32" s="451"/>
      <c r="CQ32" s="451"/>
      <c r="CR32" s="451"/>
      <c r="CS32" s="451"/>
      <c r="CT32" s="451"/>
      <c r="CU32" s="451"/>
      <c r="CV32" s="451"/>
      <c r="CW32" s="451"/>
      <c r="CX32" s="451"/>
      <c r="CY32" s="451"/>
      <c r="CZ32" s="451"/>
      <c r="DA32" s="452"/>
    </row>
    <row r="33" spans="1:105" s="86" customFormat="1" ht="27" customHeight="1">
      <c r="A33" s="407" t="s">
        <v>265</v>
      </c>
      <c r="B33" s="407"/>
      <c r="C33" s="407"/>
      <c r="D33" s="407"/>
      <c r="E33" s="407"/>
      <c r="F33" s="407"/>
      <c r="G33" s="96"/>
      <c r="H33" s="453" t="s">
        <v>264</v>
      </c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4"/>
      <c r="BW33" s="450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2"/>
      <c r="CM33" s="450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/>
      <c r="CX33" s="451"/>
      <c r="CY33" s="451"/>
      <c r="CZ33" s="451"/>
      <c r="DA33" s="452"/>
    </row>
    <row r="34" spans="1:105" s="86" customFormat="1" ht="26.25" customHeight="1">
      <c r="A34" s="407" t="s">
        <v>38</v>
      </c>
      <c r="B34" s="407"/>
      <c r="C34" s="407"/>
      <c r="D34" s="407"/>
      <c r="E34" s="407"/>
      <c r="F34" s="407"/>
      <c r="G34" s="96"/>
      <c r="H34" s="435" t="s">
        <v>266</v>
      </c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6"/>
      <c r="BW34" s="450">
        <v>271000000</v>
      </c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2"/>
      <c r="CM34" s="450">
        <f>BW34*5.1/100</f>
        <v>13821000</v>
      </c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2"/>
    </row>
    <row r="35" spans="1:105" s="86" customFormat="1" ht="13.5" customHeight="1">
      <c r="A35" s="407"/>
      <c r="B35" s="407"/>
      <c r="C35" s="407"/>
      <c r="D35" s="407"/>
      <c r="E35" s="407"/>
      <c r="F35" s="407"/>
      <c r="G35" s="443" t="s">
        <v>233</v>
      </c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8"/>
      <c r="BW35" s="415" t="s">
        <v>234</v>
      </c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>
        <f>SUM(CM23:CM34)</f>
        <v>81842000</v>
      </c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</row>
    <row r="36" ht="3" customHeight="1"/>
    <row r="37" spans="1:105" s="87" customFormat="1" ht="48" customHeight="1">
      <c r="A37" s="448" t="s">
        <v>267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49"/>
      <c r="CR37" s="449"/>
      <c r="CS37" s="449"/>
      <c r="CT37" s="449"/>
      <c r="CU37" s="449"/>
      <c r="CV37" s="449"/>
      <c r="CW37" s="449"/>
      <c r="CX37" s="449"/>
      <c r="CY37" s="449"/>
      <c r="CZ37" s="449"/>
      <c r="DA37" s="449"/>
    </row>
    <row r="39" spans="1:105" s="80" customFormat="1" ht="14.25">
      <c r="A39" s="199" t="s">
        <v>268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</row>
    <row r="40" ht="6" customHeight="1"/>
    <row r="41" spans="1:105" s="80" customFormat="1" ht="14.25">
      <c r="A41" s="80" t="s">
        <v>221</v>
      </c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30"/>
      <c r="AM41" s="430"/>
      <c r="AN41" s="430"/>
      <c r="AO41" s="430"/>
      <c r="AP41" s="430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0"/>
      <c r="BB41" s="430"/>
      <c r="BC41" s="430"/>
      <c r="BD41" s="430"/>
      <c r="BE41" s="430"/>
      <c r="BF41" s="430"/>
      <c r="BG41" s="430"/>
      <c r="BH41" s="430"/>
      <c r="BI41" s="430"/>
      <c r="BJ41" s="430"/>
      <c r="BK41" s="430"/>
      <c r="BL41" s="430"/>
      <c r="BM41" s="430"/>
      <c r="BN41" s="430"/>
      <c r="BO41" s="430"/>
      <c r="BP41" s="430"/>
      <c r="BQ41" s="430"/>
      <c r="BR41" s="430"/>
      <c r="BS41" s="430"/>
      <c r="BT41" s="430"/>
      <c r="BU41" s="430"/>
      <c r="BV41" s="430"/>
      <c r="BW41" s="430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30"/>
      <c r="CI41" s="430"/>
      <c r="CJ41" s="430"/>
      <c r="CK41" s="430"/>
      <c r="CL41" s="430"/>
      <c r="CM41" s="430"/>
      <c r="CN41" s="430"/>
      <c r="CO41" s="430"/>
      <c r="CP41" s="430"/>
      <c r="CQ41" s="430"/>
      <c r="CR41" s="430"/>
      <c r="CS41" s="430"/>
      <c r="CT41" s="430"/>
      <c r="CU41" s="430"/>
      <c r="CV41" s="430"/>
      <c r="CW41" s="430"/>
      <c r="CX41" s="430"/>
      <c r="CY41" s="430"/>
      <c r="CZ41" s="430"/>
      <c r="DA41" s="430"/>
    </row>
    <row r="42" spans="24:105" s="80" customFormat="1" ht="6" customHeight="1"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</row>
    <row r="43" spans="1:105" s="80" customFormat="1" ht="14.25">
      <c r="A43" s="431" t="s">
        <v>222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447"/>
      <c r="BD43" s="447"/>
      <c r="BE43" s="447"/>
      <c r="BF43" s="447"/>
      <c r="BG43" s="447"/>
      <c r="BH43" s="447"/>
      <c r="BI43" s="447"/>
      <c r="BJ43" s="447"/>
      <c r="BK43" s="447"/>
      <c r="BL43" s="447"/>
      <c r="BM43" s="447"/>
      <c r="BN43" s="447"/>
      <c r="BO43" s="447"/>
      <c r="BP43" s="447"/>
      <c r="BQ43" s="447"/>
      <c r="BR43" s="447"/>
      <c r="BS43" s="447"/>
      <c r="BT43" s="447"/>
      <c r="BU43" s="447"/>
      <c r="BV43" s="447"/>
      <c r="BW43" s="447"/>
      <c r="BX43" s="447"/>
      <c r="BY43" s="447"/>
      <c r="BZ43" s="447"/>
      <c r="CA43" s="447"/>
      <c r="CB43" s="447"/>
      <c r="CC43" s="447"/>
      <c r="CD43" s="447"/>
      <c r="CE43" s="447"/>
      <c r="CF43" s="447"/>
      <c r="CG43" s="447"/>
      <c r="CH43" s="447"/>
      <c r="CI43" s="447"/>
      <c r="CJ43" s="447"/>
      <c r="CK43" s="447"/>
      <c r="CL43" s="447"/>
      <c r="CM43" s="447"/>
      <c r="CN43" s="447"/>
      <c r="CO43" s="447"/>
      <c r="CP43" s="447"/>
      <c r="CQ43" s="447"/>
      <c r="CR43" s="447"/>
      <c r="CS43" s="447"/>
      <c r="CT43" s="447"/>
      <c r="CU43" s="447"/>
      <c r="CV43" s="447"/>
      <c r="CW43" s="447"/>
      <c r="CX43" s="447"/>
      <c r="CY43" s="447"/>
      <c r="CZ43" s="447"/>
      <c r="DA43" s="447"/>
    </row>
    <row r="44" ht="10.5" customHeight="1"/>
    <row r="45" spans="1:105" s="82" customFormat="1" ht="45" customHeight="1">
      <c r="A45" s="419" t="s">
        <v>192</v>
      </c>
      <c r="B45" s="420"/>
      <c r="C45" s="420"/>
      <c r="D45" s="420"/>
      <c r="E45" s="420"/>
      <c r="F45" s="420"/>
      <c r="G45" s="421"/>
      <c r="H45" s="419" t="s">
        <v>0</v>
      </c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1"/>
      <c r="BD45" s="419" t="s">
        <v>269</v>
      </c>
      <c r="BE45" s="420"/>
      <c r="BF45" s="420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1"/>
      <c r="BT45" s="419" t="s">
        <v>270</v>
      </c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1"/>
      <c r="CJ45" s="419" t="s">
        <v>271</v>
      </c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0"/>
      <c r="DA45" s="421"/>
    </row>
    <row r="46" spans="1:105" s="83" customFormat="1" ht="12.75">
      <c r="A46" s="416">
        <v>1</v>
      </c>
      <c r="B46" s="416"/>
      <c r="C46" s="416"/>
      <c r="D46" s="416"/>
      <c r="E46" s="416"/>
      <c r="F46" s="416"/>
      <c r="G46" s="416"/>
      <c r="H46" s="416">
        <v>2</v>
      </c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>
        <v>3</v>
      </c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416"/>
      <c r="BP46" s="416"/>
      <c r="BQ46" s="416"/>
      <c r="BR46" s="416"/>
      <c r="BS46" s="416"/>
      <c r="BT46" s="416">
        <v>4</v>
      </c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6">
        <v>5</v>
      </c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</row>
    <row r="47" spans="1:105" s="84" customFormat="1" ht="15" customHeight="1">
      <c r="A47" s="407"/>
      <c r="B47" s="407"/>
      <c r="C47" s="407"/>
      <c r="D47" s="407"/>
      <c r="E47" s="407"/>
      <c r="F47" s="407"/>
      <c r="G47" s="407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</row>
    <row r="48" spans="1:105" s="84" customFormat="1" ht="15" customHeight="1">
      <c r="A48" s="407"/>
      <c r="B48" s="407"/>
      <c r="C48" s="407"/>
      <c r="D48" s="407"/>
      <c r="E48" s="407"/>
      <c r="F48" s="407"/>
      <c r="G48" s="407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09"/>
      <c r="CZ48" s="409"/>
      <c r="DA48" s="409"/>
    </row>
    <row r="49" spans="1:105" s="84" customFormat="1" ht="15" customHeight="1">
      <c r="A49" s="407"/>
      <c r="B49" s="407"/>
      <c r="C49" s="407"/>
      <c r="D49" s="407"/>
      <c r="E49" s="407"/>
      <c r="F49" s="407"/>
      <c r="G49" s="407"/>
      <c r="H49" s="437" t="s">
        <v>233</v>
      </c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8"/>
      <c r="BD49" s="409" t="s">
        <v>234</v>
      </c>
      <c r="BE49" s="409"/>
      <c r="BF49" s="409"/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09"/>
      <c r="BR49" s="409"/>
      <c r="BS49" s="409"/>
      <c r="BT49" s="409" t="s">
        <v>234</v>
      </c>
      <c r="BU49" s="409"/>
      <c r="BV49" s="409"/>
      <c r="BW49" s="409"/>
      <c r="BX49" s="409"/>
      <c r="BY49" s="409"/>
      <c r="BZ49" s="409"/>
      <c r="CA49" s="409"/>
      <c r="CB49" s="409"/>
      <c r="CC49" s="409"/>
      <c r="CD49" s="409"/>
      <c r="CE49" s="409"/>
      <c r="CF49" s="409"/>
      <c r="CG49" s="409"/>
      <c r="CH49" s="409"/>
      <c r="CI49" s="409"/>
      <c r="CJ49" s="409"/>
      <c r="CK49" s="409"/>
      <c r="CL49" s="409"/>
      <c r="CM49" s="409"/>
      <c r="CN49" s="409"/>
      <c r="CO49" s="409"/>
      <c r="CP49" s="409"/>
      <c r="CQ49" s="409"/>
      <c r="CR49" s="409"/>
      <c r="CS49" s="409"/>
      <c r="CT49" s="409"/>
      <c r="CU49" s="409"/>
      <c r="CV49" s="409"/>
      <c r="CW49" s="409"/>
      <c r="CX49" s="409"/>
      <c r="CY49" s="409"/>
      <c r="CZ49" s="409"/>
      <c r="DA49" s="409"/>
    </row>
    <row r="50" s="86" customFormat="1" ht="12" customHeight="1"/>
    <row r="51" spans="1:105" s="80" customFormat="1" ht="14.25">
      <c r="A51" s="199" t="s">
        <v>272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</row>
    <row r="52" ht="6" customHeight="1"/>
    <row r="53" spans="1:105" s="80" customFormat="1" ht="14.25">
      <c r="A53" s="80" t="s">
        <v>221</v>
      </c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0"/>
      <c r="CF53" s="430"/>
      <c r="CG53" s="430"/>
      <c r="CH53" s="430"/>
      <c r="CI53" s="430"/>
      <c r="CJ53" s="430"/>
      <c r="CK53" s="430"/>
      <c r="CL53" s="430"/>
      <c r="CM53" s="430"/>
      <c r="CN53" s="430"/>
      <c r="CO53" s="430"/>
      <c r="CP53" s="430"/>
      <c r="CQ53" s="430"/>
      <c r="CR53" s="430"/>
      <c r="CS53" s="430"/>
      <c r="CT53" s="430"/>
      <c r="CU53" s="430"/>
      <c r="CV53" s="430"/>
      <c r="CW53" s="430"/>
      <c r="CX53" s="430"/>
      <c r="CY53" s="430"/>
      <c r="CZ53" s="430"/>
      <c r="DA53" s="430"/>
    </row>
    <row r="54" spans="24:105" s="80" customFormat="1" ht="6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</row>
    <row r="55" spans="1:105" s="80" customFormat="1" ht="14.25">
      <c r="A55" s="431" t="s">
        <v>222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47"/>
      <c r="BN55" s="447"/>
      <c r="BO55" s="447"/>
      <c r="BP55" s="447"/>
      <c r="BQ55" s="447"/>
      <c r="BR55" s="447"/>
      <c r="BS55" s="447"/>
      <c r="BT55" s="447"/>
      <c r="BU55" s="447"/>
      <c r="BV55" s="447"/>
      <c r="BW55" s="447"/>
      <c r="BX55" s="447"/>
      <c r="BY55" s="447"/>
      <c r="BZ55" s="447"/>
      <c r="CA55" s="447"/>
      <c r="CB55" s="447"/>
      <c r="CC55" s="447"/>
      <c r="CD55" s="447"/>
      <c r="CE55" s="447"/>
      <c r="CF55" s="447"/>
      <c r="CG55" s="447"/>
      <c r="CH55" s="447"/>
      <c r="CI55" s="447"/>
      <c r="CJ55" s="447"/>
      <c r="CK55" s="447"/>
      <c r="CL55" s="447"/>
      <c r="CM55" s="447"/>
      <c r="CN55" s="447"/>
      <c r="CO55" s="447"/>
      <c r="CP55" s="447"/>
      <c r="CQ55" s="447"/>
      <c r="CR55" s="447"/>
      <c r="CS55" s="447"/>
      <c r="CT55" s="447"/>
      <c r="CU55" s="447"/>
      <c r="CV55" s="447"/>
      <c r="CW55" s="447"/>
      <c r="CX55" s="447"/>
      <c r="CY55" s="447"/>
      <c r="CZ55" s="447"/>
      <c r="DA55" s="447"/>
    </row>
    <row r="56" ht="10.5" customHeight="1"/>
    <row r="57" spans="1:105" s="82" customFormat="1" ht="55.5" customHeight="1">
      <c r="A57" s="419" t="s">
        <v>192</v>
      </c>
      <c r="B57" s="420"/>
      <c r="C57" s="420"/>
      <c r="D57" s="420"/>
      <c r="E57" s="420"/>
      <c r="F57" s="420"/>
      <c r="G57" s="421"/>
      <c r="H57" s="419" t="s">
        <v>273</v>
      </c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1"/>
      <c r="BD57" s="419" t="s">
        <v>274</v>
      </c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1"/>
      <c r="BT57" s="419" t="s">
        <v>275</v>
      </c>
      <c r="BU57" s="420"/>
      <c r="BV57" s="420"/>
      <c r="BW57" s="420"/>
      <c r="BX57" s="420"/>
      <c r="BY57" s="420"/>
      <c r="BZ57" s="420"/>
      <c r="CA57" s="420"/>
      <c r="CB57" s="420"/>
      <c r="CC57" s="420"/>
      <c r="CD57" s="421"/>
      <c r="CE57" s="419" t="s">
        <v>276</v>
      </c>
      <c r="CF57" s="420"/>
      <c r="CG57" s="420"/>
      <c r="CH57" s="420"/>
      <c r="CI57" s="420"/>
      <c r="CJ57" s="420"/>
      <c r="CK57" s="420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0"/>
      <c r="CZ57" s="420"/>
      <c r="DA57" s="421"/>
    </row>
    <row r="58" spans="1:105" s="83" customFormat="1" ht="12.75">
      <c r="A58" s="416">
        <v>1</v>
      </c>
      <c r="B58" s="416"/>
      <c r="C58" s="416"/>
      <c r="D58" s="416"/>
      <c r="E58" s="416"/>
      <c r="F58" s="416"/>
      <c r="G58" s="416"/>
      <c r="H58" s="416">
        <v>2</v>
      </c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>
        <v>3</v>
      </c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>
        <v>4</v>
      </c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>
        <v>5</v>
      </c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</row>
    <row r="59" spans="1:105" s="84" customFormat="1" ht="15" customHeight="1">
      <c r="A59" s="407"/>
      <c r="B59" s="407"/>
      <c r="C59" s="407"/>
      <c r="D59" s="407"/>
      <c r="E59" s="407"/>
      <c r="F59" s="407"/>
      <c r="G59" s="407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U59" s="408"/>
      <c r="AV59" s="408"/>
      <c r="AW59" s="408"/>
      <c r="AX59" s="408"/>
      <c r="AY59" s="408"/>
      <c r="AZ59" s="408"/>
      <c r="BA59" s="408"/>
      <c r="BB59" s="408"/>
      <c r="BC59" s="408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/>
      <c r="BN59" s="409"/>
      <c r="BO59" s="409"/>
      <c r="BP59" s="409"/>
      <c r="BQ59" s="409"/>
      <c r="BR59" s="409"/>
      <c r="BS59" s="409"/>
      <c r="BT59" s="409"/>
      <c r="BU59" s="409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09"/>
      <c r="CK59" s="409"/>
      <c r="CL59" s="409"/>
      <c r="CM59" s="409"/>
      <c r="CN59" s="409"/>
      <c r="CO59" s="409"/>
      <c r="CP59" s="409"/>
      <c r="CQ59" s="409"/>
      <c r="CR59" s="409"/>
      <c r="CS59" s="409"/>
      <c r="CT59" s="409"/>
      <c r="CU59" s="409"/>
      <c r="CV59" s="409"/>
      <c r="CW59" s="409"/>
      <c r="CX59" s="409"/>
      <c r="CY59" s="409"/>
      <c r="CZ59" s="409"/>
      <c r="DA59" s="409"/>
    </row>
    <row r="60" spans="1:105" s="84" customFormat="1" ht="15" customHeight="1">
      <c r="A60" s="407"/>
      <c r="B60" s="407"/>
      <c r="C60" s="407"/>
      <c r="D60" s="407"/>
      <c r="E60" s="407"/>
      <c r="F60" s="407"/>
      <c r="G60" s="407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  <c r="AR60" s="408"/>
      <c r="AS60" s="408"/>
      <c r="AT60" s="408"/>
      <c r="AU60" s="408"/>
      <c r="AV60" s="408"/>
      <c r="AW60" s="408"/>
      <c r="AX60" s="408"/>
      <c r="AY60" s="408"/>
      <c r="AZ60" s="408"/>
      <c r="BA60" s="408"/>
      <c r="BB60" s="408"/>
      <c r="BC60" s="408"/>
      <c r="BD60" s="409"/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09"/>
      <c r="CK60" s="409"/>
      <c r="CL60" s="409"/>
      <c r="CM60" s="409"/>
      <c r="CN60" s="409"/>
      <c r="CO60" s="409"/>
      <c r="CP60" s="409"/>
      <c r="CQ60" s="409"/>
      <c r="CR60" s="409"/>
      <c r="CS60" s="409"/>
      <c r="CT60" s="409"/>
      <c r="CU60" s="409"/>
      <c r="CV60" s="409"/>
      <c r="CW60" s="409"/>
      <c r="CX60" s="409"/>
      <c r="CY60" s="409"/>
      <c r="CZ60" s="409"/>
      <c r="DA60" s="409"/>
    </row>
    <row r="61" spans="1:105" s="84" customFormat="1" ht="15" customHeight="1">
      <c r="A61" s="407"/>
      <c r="B61" s="407"/>
      <c r="C61" s="407"/>
      <c r="D61" s="407"/>
      <c r="E61" s="407"/>
      <c r="F61" s="407"/>
      <c r="G61" s="407"/>
      <c r="H61" s="437" t="s">
        <v>233</v>
      </c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8"/>
      <c r="BD61" s="409"/>
      <c r="BE61" s="409"/>
      <c r="BF61" s="409"/>
      <c r="BG61" s="409"/>
      <c r="BH61" s="409"/>
      <c r="BI61" s="409"/>
      <c r="BJ61" s="409"/>
      <c r="BK61" s="409"/>
      <c r="BL61" s="409"/>
      <c r="BM61" s="409"/>
      <c r="BN61" s="409"/>
      <c r="BO61" s="409"/>
      <c r="BP61" s="409"/>
      <c r="BQ61" s="409"/>
      <c r="BR61" s="409"/>
      <c r="BS61" s="409"/>
      <c r="BT61" s="409" t="s">
        <v>234</v>
      </c>
      <c r="BU61" s="409"/>
      <c r="BV61" s="409"/>
      <c r="BW61" s="409"/>
      <c r="BX61" s="409"/>
      <c r="BY61" s="409"/>
      <c r="BZ61" s="409"/>
      <c r="CA61" s="409"/>
      <c r="CB61" s="409"/>
      <c r="CC61" s="409"/>
      <c r="CD61" s="409"/>
      <c r="CE61" s="409"/>
      <c r="CF61" s="409"/>
      <c r="CG61" s="409"/>
      <c r="CH61" s="409"/>
      <c r="CI61" s="409"/>
      <c r="CJ61" s="409"/>
      <c r="CK61" s="409"/>
      <c r="CL61" s="409"/>
      <c r="CM61" s="409"/>
      <c r="CN61" s="409"/>
      <c r="CO61" s="409"/>
      <c r="CP61" s="409"/>
      <c r="CQ61" s="409"/>
      <c r="CR61" s="409"/>
      <c r="CS61" s="409"/>
      <c r="CT61" s="409"/>
      <c r="CU61" s="409"/>
      <c r="CV61" s="409"/>
      <c r="CW61" s="409"/>
      <c r="CX61" s="409"/>
      <c r="CY61" s="409"/>
      <c r="CZ61" s="409"/>
      <c r="DA61" s="409"/>
    </row>
    <row r="63" spans="1:105" s="80" customFormat="1" ht="14.25">
      <c r="A63" s="199" t="s">
        <v>277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</row>
    <row r="64" ht="6" customHeight="1"/>
    <row r="65" spans="1:105" s="80" customFormat="1" ht="14.25">
      <c r="A65" s="80" t="s">
        <v>221</v>
      </c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0"/>
      <c r="BF65" s="430"/>
      <c r="BG65" s="430"/>
      <c r="BH65" s="430"/>
      <c r="BI65" s="430"/>
      <c r="BJ65" s="430"/>
      <c r="BK65" s="430"/>
      <c r="BL65" s="430"/>
      <c r="BM65" s="430"/>
      <c r="BN65" s="430"/>
      <c r="BO65" s="430"/>
      <c r="BP65" s="430"/>
      <c r="BQ65" s="430"/>
      <c r="BR65" s="430"/>
      <c r="BS65" s="430"/>
      <c r="BT65" s="430"/>
      <c r="BU65" s="430"/>
      <c r="BV65" s="430"/>
      <c r="BW65" s="430"/>
      <c r="BX65" s="430"/>
      <c r="BY65" s="430"/>
      <c r="BZ65" s="430"/>
      <c r="CA65" s="430"/>
      <c r="CB65" s="430"/>
      <c r="CC65" s="430"/>
      <c r="CD65" s="430"/>
      <c r="CE65" s="430"/>
      <c r="CF65" s="430"/>
      <c r="CG65" s="430"/>
      <c r="CH65" s="430"/>
      <c r="CI65" s="430"/>
      <c r="CJ65" s="430"/>
      <c r="CK65" s="430"/>
      <c r="CL65" s="430"/>
      <c r="CM65" s="430"/>
      <c r="CN65" s="430"/>
      <c r="CO65" s="430"/>
      <c r="CP65" s="430"/>
      <c r="CQ65" s="430"/>
      <c r="CR65" s="430"/>
      <c r="CS65" s="430"/>
      <c r="CT65" s="430"/>
      <c r="CU65" s="430"/>
      <c r="CV65" s="430"/>
      <c r="CW65" s="430"/>
      <c r="CX65" s="430"/>
      <c r="CY65" s="430"/>
      <c r="CZ65" s="430"/>
      <c r="DA65" s="430"/>
    </row>
    <row r="66" spans="24:105" s="80" customFormat="1" ht="6" customHeight="1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</row>
    <row r="67" spans="1:105" s="80" customFormat="1" ht="14.25">
      <c r="A67" s="431" t="s">
        <v>222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31"/>
      <c r="AK67" s="431"/>
      <c r="AL67" s="431"/>
      <c r="AM67" s="431"/>
      <c r="AN67" s="431"/>
      <c r="AO67" s="431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47"/>
      <c r="BN67" s="447"/>
      <c r="BO67" s="447"/>
      <c r="BP67" s="447"/>
      <c r="BQ67" s="447"/>
      <c r="BR67" s="447"/>
      <c r="BS67" s="447"/>
      <c r="BT67" s="447"/>
      <c r="BU67" s="447"/>
      <c r="BV67" s="447"/>
      <c r="BW67" s="447"/>
      <c r="BX67" s="447"/>
      <c r="BY67" s="447"/>
      <c r="BZ67" s="447"/>
      <c r="CA67" s="447"/>
      <c r="CB67" s="447"/>
      <c r="CC67" s="447"/>
      <c r="CD67" s="447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  <c r="CQ67" s="447"/>
      <c r="CR67" s="447"/>
      <c r="CS67" s="447"/>
      <c r="CT67" s="447"/>
      <c r="CU67" s="447"/>
      <c r="CV67" s="447"/>
      <c r="CW67" s="447"/>
      <c r="CX67" s="447"/>
      <c r="CY67" s="447"/>
      <c r="CZ67" s="447"/>
      <c r="DA67" s="447"/>
    </row>
    <row r="68" ht="10.5" customHeight="1"/>
    <row r="69" spans="1:105" s="82" customFormat="1" ht="45" customHeight="1">
      <c r="A69" s="419" t="s">
        <v>192</v>
      </c>
      <c r="B69" s="420"/>
      <c r="C69" s="420"/>
      <c r="D69" s="420"/>
      <c r="E69" s="420"/>
      <c r="F69" s="420"/>
      <c r="G69" s="421"/>
      <c r="H69" s="419" t="s">
        <v>0</v>
      </c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1"/>
      <c r="BD69" s="419" t="s">
        <v>269</v>
      </c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1"/>
      <c r="BT69" s="419" t="s">
        <v>270</v>
      </c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1"/>
      <c r="CJ69" s="419" t="s">
        <v>271</v>
      </c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1"/>
    </row>
    <row r="70" spans="1:105" s="83" customFormat="1" ht="12.75">
      <c r="A70" s="416">
        <v>1</v>
      </c>
      <c r="B70" s="416"/>
      <c r="C70" s="416"/>
      <c r="D70" s="416"/>
      <c r="E70" s="416"/>
      <c r="F70" s="416"/>
      <c r="G70" s="416"/>
      <c r="H70" s="416">
        <v>2</v>
      </c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>
        <v>3</v>
      </c>
      <c r="BE70" s="416"/>
      <c r="BF70" s="416"/>
      <c r="BG70" s="416"/>
      <c r="BH70" s="416"/>
      <c r="BI70" s="416"/>
      <c r="BJ70" s="416"/>
      <c r="BK70" s="416"/>
      <c r="BL70" s="416"/>
      <c r="BM70" s="416"/>
      <c r="BN70" s="416"/>
      <c r="BO70" s="416"/>
      <c r="BP70" s="416"/>
      <c r="BQ70" s="416"/>
      <c r="BR70" s="416"/>
      <c r="BS70" s="416"/>
      <c r="BT70" s="416">
        <v>4</v>
      </c>
      <c r="BU70" s="416"/>
      <c r="BV70" s="416"/>
      <c r="BW70" s="416"/>
      <c r="BX70" s="416"/>
      <c r="BY70" s="416"/>
      <c r="BZ70" s="416"/>
      <c r="CA70" s="416"/>
      <c r="CB70" s="416"/>
      <c r="CC70" s="416"/>
      <c r="CD70" s="416"/>
      <c r="CE70" s="416"/>
      <c r="CF70" s="416"/>
      <c r="CG70" s="416"/>
      <c r="CH70" s="416"/>
      <c r="CI70" s="416"/>
      <c r="CJ70" s="416">
        <v>5</v>
      </c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416"/>
      <c r="CZ70" s="416"/>
      <c r="DA70" s="416"/>
    </row>
    <row r="71" spans="1:105" s="84" customFormat="1" ht="15" customHeight="1">
      <c r="A71" s="407"/>
      <c r="B71" s="407"/>
      <c r="C71" s="407"/>
      <c r="D71" s="407"/>
      <c r="E71" s="407"/>
      <c r="F71" s="407"/>
      <c r="G71" s="407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9"/>
      <c r="BE71" s="409"/>
      <c r="BF71" s="409"/>
      <c r="BG71" s="409"/>
      <c r="BH71" s="409"/>
      <c r="BI71" s="409"/>
      <c r="BJ71" s="409"/>
      <c r="BK71" s="409"/>
      <c r="BL71" s="409"/>
      <c r="BM71" s="409"/>
      <c r="BN71" s="409"/>
      <c r="BO71" s="409"/>
      <c r="BP71" s="409"/>
      <c r="BQ71" s="409"/>
      <c r="BR71" s="409"/>
      <c r="BS71" s="409"/>
      <c r="BT71" s="409"/>
      <c r="BU71" s="409"/>
      <c r="BV71" s="409"/>
      <c r="BW71" s="409"/>
      <c r="BX71" s="409"/>
      <c r="BY71" s="409"/>
      <c r="BZ71" s="409"/>
      <c r="CA71" s="409"/>
      <c r="CB71" s="409"/>
      <c r="CC71" s="409"/>
      <c r="CD71" s="409"/>
      <c r="CE71" s="409"/>
      <c r="CF71" s="409"/>
      <c r="CG71" s="409"/>
      <c r="CH71" s="409"/>
      <c r="CI71" s="409"/>
      <c r="CJ71" s="409"/>
      <c r="CK71" s="409"/>
      <c r="CL71" s="409"/>
      <c r="CM71" s="409"/>
      <c r="CN71" s="409"/>
      <c r="CO71" s="409"/>
      <c r="CP71" s="409"/>
      <c r="CQ71" s="409"/>
      <c r="CR71" s="409"/>
      <c r="CS71" s="409"/>
      <c r="CT71" s="409"/>
      <c r="CU71" s="409"/>
      <c r="CV71" s="409"/>
      <c r="CW71" s="409"/>
      <c r="CX71" s="409"/>
      <c r="CY71" s="409"/>
      <c r="CZ71" s="409"/>
      <c r="DA71" s="409"/>
    </row>
    <row r="72" spans="1:105" s="84" customFormat="1" ht="15" customHeight="1">
      <c r="A72" s="407"/>
      <c r="B72" s="407"/>
      <c r="C72" s="407"/>
      <c r="D72" s="407"/>
      <c r="E72" s="407"/>
      <c r="F72" s="407"/>
      <c r="G72" s="407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9"/>
      <c r="BE72" s="409"/>
      <c r="BF72" s="409"/>
      <c r="BG72" s="409"/>
      <c r="BH72" s="409"/>
      <c r="BI72" s="409"/>
      <c r="BJ72" s="409"/>
      <c r="BK72" s="409"/>
      <c r="BL72" s="409"/>
      <c r="BM72" s="409"/>
      <c r="BN72" s="409"/>
      <c r="BO72" s="409"/>
      <c r="BP72" s="409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09"/>
      <c r="CO72" s="409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</row>
    <row r="73" spans="1:105" s="84" customFormat="1" ht="15" customHeight="1">
      <c r="A73" s="407"/>
      <c r="B73" s="407"/>
      <c r="C73" s="407"/>
      <c r="D73" s="407"/>
      <c r="E73" s="407"/>
      <c r="F73" s="407"/>
      <c r="G73" s="407"/>
      <c r="H73" s="437" t="s">
        <v>233</v>
      </c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8"/>
      <c r="BD73" s="409" t="s">
        <v>234</v>
      </c>
      <c r="BE73" s="409"/>
      <c r="BF73" s="409"/>
      <c r="BG73" s="409"/>
      <c r="BH73" s="409"/>
      <c r="BI73" s="409"/>
      <c r="BJ73" s="409"/>
      <c r="BK73" s="409"/>
      <c r="BL73" s="409"/>
      <c r="BM73" s="409"/>
      <c r="BN73" s="409"/>
      <c r="BO73" s="409"/>
      <c r="BP73" s="409"/>
      <c r="BQ73" s="409"/>
      <c r="BR73" s="409"/>
      <c r="BS73" s="409"/>
      <c r="BT73" s="409" t="s">
        <v>234</v>
      </c>
      <c r="BU73" s="409"/>
      <c r="BV73" s="409"/>
      <c r="BW73" s="409"/>
      <c r="BX73" s="409"/>
      <c r="BY73" s="409"/>
      <c r="BZ73" s="409"/>
      <c r="CA73" s="409"/>
      <c r="CB73" s="409"/>
      <c r="CC73" s="409"/>
      <c r="CD73" s="409"/>
      <c r="CE73" s="409"/>
      <c r="CF73" s="409"/>
      <c r="CG73" s="409"/>
      <c r="CH73" s="409"/>
      <c r="CI73" s="409"/>
      <c r="CJ73" s="409"/>
      <c r="CK73" s="409"/>
      <c r="CL73" s="409"/>
      <c r="CM73" s="409"/>
      <c r="CN73" s="409"/>
      <c r="CO73" s="409"/>
      <c r="CP73" s="409"/>
      <c r="CQ73" s="409"/>
      <c r="CR73" s="409"/>
      <c r="CS73" s="409"/>
      <c r="CT73" s="409"/>
      <c r="CU73" s="409"/>
      <c r="CV73" s="409"/>
      <c r="CW73" s="409"/>
      <c r="CX73" s="409"/>
      <c r="CY73" s="409"/>
      <c r="CZ73" s="409"/>
      <c r="DA73" s="409"/>
    </row>
    <row r="75" spans="1:105" s="80" customFormat="1" ht="27" customHeight="1">
      <c r="A75" s="439" t="s">
        <v>278</v>
      </c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  <c r="AT75" s="439"/>
      <c r="AU75" s="439"/>
      <c r="AV75" s="439"/>
      <c r="AW75" s="439"/>
      <c r="AX75" s="439"/>
      <c r="AY75" s="439"/>
      <c r="AZ75" s="439"/>
      <c r="BA75" s="439"/>
      <c r="BB75" s="439"/>
      <c r="BC75" s="439"/>
      <c r="BD75" s="439"/>
      <c r="BE75" s="439"/>
      <c r="BF75" s="439"/>
      <c r="BG75" s="439"/>
      <c r="BH75" s="439"/>
      <c r="BI75" s="439"/>
      <c r="BJ75" s="439"/>
      <c r="BK75" s="439"/>
      <c r="BL75" s="439"/>
      <c r="BM75" s="439"/>
      <c r="BN75" s="439"/>
      <c r="BO75" s="439"/>
      <c r="BP75" s="439"/>
      <c r="BQ75" s="439"/>
      <c r="BR75" s="439"/>
      <c r="BS75" s="439"/>
      <c r="BT75" s="439"/>
      <c r="BU75" s="439"/>
      <c r="BV75" s="439"/>
      <c r="BW75" s="439"/>
      <c r="BX75" s="439"/>
      <c r="BY75" s="439"/>
      <c r="BZ75" s="439"/>
      <c r="CA75" s="439"/>
      <c r="CB75" s="439"/>
      <c r="CC75" s="439"/>
      <c r="CD75" s="439"/>
      <c r="CE75" s="439"/>
      <c r="CF75" s="439"/>
      <c r="CG75" s="439"/>
      <c r="CH75" s="439"/>
      <c r="CI75" s="439"/>
      <c r="CJ75" s="439"/>
      <c r="CK75" s="439"/>
      <c r="CL75" s="439"/>
      <c r="CM75" s="439"/>
      <c r="CN75" s="439"/>
      <c r="CO75" s="439"/>
      <c r="CP75" s="439"/>
      <c r="CQ75" s="439"/>
      <c r="CR75" s="439"/>
      <c r="CS75" s="439"/>
      <c r="CT75" s="439"/>
      <c r="CU75" s="439"/>
      <c r="CV75" s="439"/>
      <c r="CW75" s="439"/>
      <c r="CX75" s="439"/>
      <c r="CY75" s="439"/>
      <c r="CZ75" s="439"/>
      <c r="DA75" s="439"/>
    </row>
    <row r="76" ht="6" customHeight="1"/>
    <row r="77" spans="1:105" s="80" customFormat="1" ht="14.25">
      <c r="A77" s="80" t="s">
        <v>221</v>
      </c>
      <c r="X77" s="430"/>
      <c r="Y77" s="430"/>
      <c r="Z77" s="430"/>
      <c r="AA77" s="430"/>
      <c r="AB77" s="430"/>
      <c r="AC77" s="430"/>
      <c r="AD77" s="430"/>
      <c r="AE77" s="430"/>
      <c r="AF77" s="430"/>
      <c r="AG77" s="430"/>
      <c r="AH77" s="430"/>
      <c r="AI77" s="430"/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30"/>
      <c r="BA77" s="430"/>
      <c r="BB77" s="430"/>
      <c r="BC77" s="430"/>
      <c r="BD77" s="430"/>
      <c r="BE77" s="430"/>
      <c r="BF77" s="430"/>
      <c r="BG77" s="430"/>
      <c r="BH77" s="430"/>
      <c r="BI77" s="430"/>
      <c r="BJ77" s="430"/>
      <c r="BK77" s="430"/>
      <c r="BL77" s="430"/>
      <c r="BM77" s="430"/>
      <c r="BN77" s="430"/>
      <c r="BO77" s="430"/>
      <c r="BP77" s="430"/>
      <c r="BQ77" s="430"/>
      <c r="BR77" s="430"/>
      <c r="BS77" s="430"/>
      <c r="BT77" s="430"/>
      <c r="BU77" s="430"/>
      <c r="BV77" s="430"/>
      <c r="BW77" s="430"/>
      <c r="BX77" s="430"/>
      <c r="BY77" s="430"/>
      <c r="BZ77" s="430"/>
      <c r="CA77" s="430"/>
      <c r="CB77" s="430"/>
      <c r="CC77" s="430"/>
      <c r="CD77" s="430"/>
      <c r="CE77" s="430"/>
      <c r="CF77" s="430"/>
      <c r="CG77" s="430"/>
      <c r="CH77" s="430"/>
      <c r="CI77" s="430"/>
      <c r="CJ77" s="430"/>
      <c r="CK77" s="430"/>
      <c r="CL77" s="430"/>
      <c r="CM77" s="430"/>
      <c r="CN77" s="430"/>
      <c r="CO77" s="430"/>
      <c r="CP77" s="430"/>
      <c r="CQ77" s="430"/>
      <c r="CR77" s="430"/>
      <c r="CS77" s="430"/>
      <c r="CT77" s="430"/>
      <c r="CU77" s="430"/>
      <c r="CV77" s="430"/>
      <c r="CW77" s="430"/>
      <c r="CX77" s="430"/>
      <c r="CY77" s="430"/>
      <c r="CZ77" s="430"/>
      <c r="DA77" s="430"/>
    </row>
    <row r="78" spans="24:105" s="80" customFormat="1" ht="6" customHeight="1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</row>
    <row r="79" spans="1:105" s="80" customFormat="1" ht="14.25">
      <c r="A79" s="431" t="s">
        <v>222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/>
      <c r="BU79" s="447"/>
      <c r="BV79" s="447"/>
      <c r="BW79" s="447"/>
      <c r="BX79" s="447"/>
      <c r="BY79" s="447"/>
      <c r="BZ79" s="447"/>
      <c r="CA79" s="447"/>
      <c r="CB79" s="447"/>
      <c r="CC79" s="447"/>
      <c r="CD79" s="447"/>
      <c r="CE79" s="447"/>
      <c r="CF79" s="447"/>
      <c r="CG79" s="447"/>
      <c r="CH79" s="447"/>
      <c r="CI79" s="447"/>
      <c r="CJ79" s="447"/>
      <c r="CK79" s="447"/>
      <c r="CL79" s="447"/>
      <c r="CM79" s="447"/>
      <c r="CN79" s="447"/>
      <c r="CO79" s="447"/>
      <c r="CP79" s="447"/>
      <c r="CQ79" s="447"/>
      <c r="CR79" s="447"/>
      <c r="CS79" s="447"/>
      <c r="CT79" s="447"/>
      <c r="CU79" s="447"/>
      <c r="CV79" s="447"/>
      <c r="CW79" s="447"/>
      <c r="CX79" s="447"/>
      <c r="CY79" s="447"/>
      <c r="CZ79" s="447"/>
      <c r="DA79" s="447"/>
    </row>
    <row r="80" ht="10.5" customHeight="1"/>
    <row r="81" spans="1:105" s="82" customFormat="1" ht="45" customHeight="1">
      <c r="A81" s="419" t="s">
        <v>192</v>
      </c>
      <c r="B81" s="420"/>
      <c r="C81" s="420"/>
      <c r="D81" s="420"/>
      <c r="E81" s="420"/>
      <c r="F81" s="420"/>
      <c r="G81" s="421"/>
      <c r="H81" s="419" t="s">
        <v>0</v>
      </c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  <c r="Z81" s="420"/>
      <c r="AA81" s="420"/>
      <c r="AB81" s="420"/>
      <c r="AC81" s="420"/>
      <c r="AD81" s="420"/>
      <c r="AE81" s="420"/>
      <c r="AF81" s="420"/>
      <c r="AG81" s="420"/>
      <c r="AH81" s="420"/>
      <c r="AI81" s="420"/>
      <c r="AJ81" s="420"/>
      <c r="AK81" s="420"/>
      <c r="AL81" s="420"/>
      <c r="AM81" s="420"/>
      <c r="AN81" s="420"/>
      <c r="AO81" s="420"/>
      <c r="AP81" s="420"/>
      <c r="AQ81" s="420"/>
      <c r="AR81" s="420"/>
      <c r="AS81" s="420"/>
      <c r="AT81" s="420"/>
      <c r="AU81" s="420"/>
      <c r="AV81" s="420"/>
      <c r="AW81" s="420"/>
      <c r="AX81" s="420"/>
      <c r="AY81" s="420"/>
      <c r="AZ81" s="420"/>
      <c r="BA81" s="420"/>
      <c r="BB81" s="420"/>
      <c r="BC81" s="421"/>
      <c r="BD81" s="419" t="s">
        <v>269</v>
      </c>
      <c r="BE81" s="420"/>
      <c r="BF81" s="420"/>
      <c r="BG81" s="420"/>
      <c r="BH81" s="420"/>
      <c r="BI81" s="420"/>
      <c r="BJ81" s="420"/>
      <c r="BK81" s="420"/>
      <c r="BL81" s="420"/>
      <c r="BM81" s="420"/>
      <c r="BN81" s="420"/>
      <c r="BO81" s="420"/>
      <c r="BP81" s="420"/>
      <c r="BQ81" s="420"/>
      <c r="BR81" s="420"/>
      <c r="BS81" s="421"/>
      <c r="BT81" s="419" t="s">
        <v>270</v>
      </c>
      <c r="BU81" s="420"/>
      <c r="BV81" s="420"/>
      <c r="BW81" s="420"/>
      <c r="BX81" s="420"/>
      <c r="BY81" s="420"/>
      <c r="BZ81" s="420"/>
      <c r="CA81" s="420"/>
      <c r="CB81" s="420"/>
      <c r="CC81" s="420"/>
      <c r="CD81" s="420"/>
      <c r="CE81" s="420"/>
      <c r="CF81" s="420"/>
      <c r="CG81" s="420"/>
      <c r="CH81" s="420"/>
      <c r="CI81" s="421"/>
      <c r="CJ81" s="419" t="s">
        <v>271</v>
      </c>
      <c r="CK81" s="420"/>
      <c r="CL81" s="420"/>
      <c r="CM81" s="420"/>
      <c r="CN81" s="420"/>
      <c r="CO81" s="420"/>
      <c r="CP81" s="420"/>
      <c r="CQ81" s="420"/>
      <c r="CR81" s="420"/>
      <c r="CS81" s="420"/>
      <c r="CT81" s="420"/>
      <c r="CU81" s="420"/>
      <c r="CV81" s="420"/>
      <c r="CW81" s="420"/>
      <c r="CX81" s="420"/>
      <c r="CY81" s="420"/>
      <c r="CZ81" s="420"/>
      <c r="DA81" s="421"/>
    </row>
    <row r="82" spans="1:105" s="83" customFormat="1" ht="12.75">
      <c r="A82" s="416">
        <v>1</v>
      </c>
      <c r="B82" s="416"/>
      <c r="C82" s="416"/>
      <c r="D82" s="416"/>
      <c r="E82" s="416"/>
      <c r="F82" s="416"/>
      <c r="G82" s="416"/>
      <c r="H82" s="416">
        <v>2</v>
      </c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16"/>
      <c r="AD82" s="416"/>
      <c r="AE82" s="416"/>
      <c r="AF82" s="416"/>
      <c r="AG82" s="416"/>
      <c r="AH82" s="416"/>
      <c r="AI82" s="416"/>
      <c r="AJ82" s="416"/>
      <c r="AK82" s="416"/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>
        <v>3</v>
      </c>
      <c r="BE82" s="416"/>
      <c r="BF82" s="416"/>
      <c r="BG82" s="416"/>
      <c r="BH82" s="416"/>
      <c r="BI82" s="416"/>
      <c r="BJ82" s="416"/>
      <c r="BK82" s="416"/>
      <c r="BL82" s="416"/>
      <c r="BM82" s="416"/>
      <c r="BN82" s="416"/>
      <c r="BO82" s="416"/>
      <c r="BP82" s="416"/>
      <c r="BQ82" s="416"/>
      <c r="BR82" s="416"/>
      <c r="BS82" s="416"/>
      <c r="BT82" s="416">
        <v>4</v>
      </c>
      <c r="BU82" s="416"/>
      <c r="BV82" s="416"/>
      <c r="BW82" s="416"/>
      <c r="BX82" s="416"/>
      <c r="BY82" s="416"/>
      <c r="BZ82" s="416"/>
      <c r="CA82" s="416"/>
      <c r="CB82" s="416"/>
      <c r="CC82" s="416"/>
      <c r="CD82" s="416"/>
      <c r="CE82" s="416"/>
      <c r="CF82" s="416"/>
      <c r="CG82" s="416"/>
      <c r="CH82" s="416"/>
      <c r="CI82" s="416"/>
      <c r="CJ82" s="416">
        <v>5</v>
      </c>
      <c r="CK82" s="416"/>
      <c r="CL82" s="416"/>
      <c r="CM82" s="416"/>
      <c r="CN82" s="416"/>
      <c r="CO82" s="416"/>
      <c r="CP82" s="416"/>
      <c r="CQ82" s="416"/>
      <c r="CR82" s="416"/>
      <c r="CS82" s="416"/>
      <c r="CT82" s="416"/>
      <c r="CU82" s="416"/>
      <c r="CV82" s="416"/>
      <c r="CW82" s="416"/>
      <c r="CX82" s="416"/>
      <c r="CY82" s="416"/>
      <c r="CZ82" s="416"/>
      <c r="DA82" s="416"/>
    </row>
    <row r="83" spans="1:105" s="84" customFormat="1" ht="15" customHeight="1">
      <c r="A83" s="407"/>
      <c r="B83" s="407"/>
      <c r="C83" s="407"/>
      <c r="D83" s="407"/>
      <c r="E83" s="407"/>
      <c r="F83" s="407"/>
      <c r="G83" s="407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/>
      <c r="AP83" s="408"/>
      <c r="AQ83" s="408"/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9"/>
      <c r="BE83" s="409"/>
      <c r="BF83" s="409"/>
      <c r="BG83" s="409"/>
      <c r="BH83" s="409"/>
      <c r="BI83" s="409"/>
      <c r="BJ83" s="409"/>
      <c r="BK83" s="409"/>
      <c r="BL83" s="409"/>
      <c r="BM83" s="409"/>
      <c r="BN83" s="409"/>
      <c r="BO83" s="409"/>
      <c r="BP83" s="409"/>
      <c r="BQ83" s="409"/>
      <c r="BR83" s="409"/>
      <c r="BS83" s="409"/>
      <c r="BT83" s="409"/>
      <c r="BU83" s="409"/>
      <c r="BV83" s="409"/>
      <c r="BW83" s="409"/>
      <c r="BX83" s="409"/>
      <c r="BY83" s="409"/>
      <c r="BZ83" s="409"/>
      <c r="CA83" s="409"/>
      <c r="CB83" s="409"/>
      <c r="CC83" s="409"/>
      <c r="CD83" s="409"/>
      <c r="CE83" s="409"/>
      <c r="CF83" s="409"/>
      <c r="CG83" s="409"/>
      <c r="CH83" s="409"/>
      <c r="CI83" s="409"/>
      <c r="CJ83" s="409"/>
      <c r="CK83" s="409"/>
      <c r="CL83" s="409"/>
      <c r="CM83" s="409"/>
      <c r="CN83" s="409"/>
      <c r="CO83" s="409"/>
      <c r="CP83" s="409"/>
      <c r="CQ83" s="409"/>
      <c r="CR83" s="409"/>
      <c r="CS83" s="409"/>
      <c r="CT83" s="409"/>
      <c r="CU83" s="409"/>
      <c r="CV83" s="409"/>
      <c r="CW83" s="409"/>
      <c r="CX83" s="409"/>
      <c r="CY83" s="409"/>
      <c r="CZ83" s="409"/>
      <c r="DA83" s="409"/>
    </row>
    <row r="84" spans="1:105" s="84" customFormat="1" ht="15" customHeight="1">
      <c r="A84" s="407"/>
      <c r="B84" s="407"/>
      <c r="C84" s="407"/>
      <c r="D84" s="407"/>
      <c r="E84" s="407"/>
      <c r="F84" s="407"/>
      <c r="G84" s="407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9"/>
      <c r="BE84" s="409"/>
      <c r="BF84" s="409"/>
      <c r="BG84" s="409"/>
      <c r="BH84" s="409"/>
      <c r="BI84" s="409"/>
      <c r="BJ84" s="409"/>
      <c r="BK84" s="409"/>
      <c r="BL84" s="409"/>
      <c r="BM84" s="409"/>
      <c r="BN84" s="409"/>
      <c r="BO84" s="409"/>
      <c r="BP84" s="409"/>
      <c r="BQ84" s="409"/>
      <c r="BR84" s="409"/>
      <c r="BS84" s="409"/>
      <c r="BT84" s="409"/>
      <c r="BU84" s="409"/>
      <c r="BV84" s="409"/>
      <c r="BW84" s="409"/>
      <c r="BX84" s="409"/>
      <c r="BY84" s="409"/>
      <c r="BZ84" s="409"/>
      <c r="CA84" s="409"/>
      <c r="CB84" s="409"/>
      <c r="CC84" s="409"/>
      <c r="CD84" s="409"/>
      <c r="CE84" s="409"/>
      <c r="CF84" s="409"/>
      <c r="CG84" s="409"/>
      <c r="CH84" s="409"/>
      <c r="CI84" s="409"/>
      <c r="CJ84" s="409"/>
      <c r="CK84" s="409"/>
      <c r="CL84" s="409"/>
      <c r="CM84" s="409"/>
      <c r="CN84" s="409"/>
      <c r="CO84" s="409"/>
      <c r="CP84" s="409"/>
      <c r="CQ84" s="409"/>
      <c r="CR84" s="409"/>
      <c r="CS84" s="409"/>
      <c r="CT84" s="409"/>
      <c r="CU84" s="409"/>
      <c r="CV84" s="409"/>
      <c r="CW84" s="409"/>
      <c r="CX84" s="409"/>
      <c r="CY84" s="409"/>
      <c r="CZ84" s="409"/>
      <c r="DA84" s="409"/>
    </row>
    <row r="85" spans="1:105" s="84" customFormat="1" ht="15" customHeight="1">
      <c r="A85" s="407"/>
      <c r="B85" s="407"/>
      <c r="C85" s="407"/>
      <c r="D85" s="407"/>
      <c r="E85" s="407"/>
      <c r="F85" s="407"/>
      <c r="G85" s="407"/>
      <c r="H85" s="437" t="s">
        <v>233</v>
      </c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8"/>
      <c r="BD85" s="409" t="s">
        <v>234</v>
      </c>
      <c r="BE85" s="409"/>
      <c r="BF85" s="409"/>
      <c r="BG85" s="409"/>
      <c r="BH85" s="409"/>
      <c r="BI85" s="409"/>
      <c r="BJ85" s="409"/>
      <c r="BK85" s="409"/>
      <c r="BL85" s="409"/>
      <c r="BM85" s="409"/>
      <c r="BN85" s="409"/>
      <c r="BO85" s="409"/>
      <c r="BP85" s="409"/>
      <c r="BQ85" s="409"/>
      <c r="BR85" s="409"/>
      <c r="BS85" s="409"/>
      <c r="BT85" s="409" t="s">
        <v>234</v>
      </c>
      <c r="BU85" s="409"/>
      <c r="BV85" s="409"/>
      <c r="BW85" s="409"/>
      <c r="BX85" s="409"/>
      <c r="BY85" s="409"/>
      <c r="BZ85" s="409"/>
      <c r="CA85" s="409"/>
      <c r="CB85" s="409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09"/>
      <c r="CN85" s="409"/>
      <c r="CO85" s="409"/>
      <c r="CP85" s="409"/>
      <c r="CQ85" s="409"/>
      <c r="CR85" s="409"/>
      <c r="CS85" s="409"/>
      <c r="CT85" s="409"/>
      <c r="CU85" s="409"/>
      <c r="CV85" s="409"/>
      <c r="CW85" s="409"/>
      <c r="CX85" s="409"/>
      <c r="CY85" s="409"/>
      <c r="CZ85" s="409"/>
      <c r="DA85" s="409"/>
    </row>
    <row r="87" spans="1:105" s="80" customFormat="1" ht="14.25">
      <c r="A87" s="199" t="s">
        <v>279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</row>
    <row r="88" ht="6" customHeight="1"/>
    <row r="89" spans="1:105" s="80" customFormat="1" ht="14.25">
      <c r="A89" s="80" t="s">
        <v>221</v>
      </c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30"/>
      <c r="BA89" s="430"/>
      <c r="BB89" s="430"/>
      <c r="BC89" s="430"/>
      <c r="BD89" s="430"/>
      <c r="BE89" s="430"/>
      <c r="BF89" s="430"/>
      <c r="BG89" s="430"/>
      <c r="BH89" s="430"/>
      <c r="BI89" s="430"/>
      <c r="BJ89" s="430"/>
      <c r="BK89" s="430"/>
      <c r="BL89" s="430"/>
      <c r="BM89" s="430"/>
      <c r="BN89" s="430"/>
      <c r="BO89" s="430"/>
      <c r="BP89" s="430"/>
      <c r="BQ89" s="430"/>
      <c r="BR89" s="430"/>
      <c r="BS89" s="430"/>
      <c r="BT89" s="430"/>
      <c r="BU89" s="430"/>
      <c r="BV89" s="430"/>
      <c r="BW89" s="430"/>
      <c r="BX89" s="430"/>
      <c r="BY89" s="430"/>
      <c r="BZ89" s="430"/>
      <c r="CA89" s="430"/>
      <c r="CB89" s="430"/>
      <c r="CC89" s="430"/>
      <c r="CD89" s="430"/>
      <c r="CE89" s="430"/>
      <c r="CF89" s="430"/>
      <c r="CG89" s="430"/>
      <c r="CH89" s="430"/>
      <c r="CI89" s="430"/>
      <c r="CJ89" s="430"/>
      <c r="CK89" s="430"/>
      <c r="CL89" s="430"/>
      <c r="CM89" s="430"/>
      <c r="CN89" s="430"/>
      <c r="CO89" s="430"/>
      <c r="CP89" s="430"/>
      <c r="CQ89" s="430"/>
      <c r="CR89" s="430"/>
      <c r="CS89" s="430"/>
      <c r="CT89" s="430"/>
      <c r="CU89" s="430"/>
      <c r="CV89" s="430"/>
      <c r="CW89" s="430"/>
      <c r="CX89" s="430"/>
      <c r="CY89" s="430"/>
      <c r="CZ89" s="430"/>
      <c r="DA89" s="430"/>
    </row>
    <row r="90" spans="24:105" s="80" customFormat="1" ht="6" customHeight="1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</row>
    <row r="91" spans="1:105" s="80" customFormat="1" ht="14.25">
      <c r="A91" s="431" t="s">
        <v>222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</row>
    <row r="92" ht="10.5" customHeight="1"/>
    <row r="93" spans="1:105" s="80" customFormat="1" ht="14.25">
      <c r="A93" s="199" t="s">
        <v>280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</row>
    <row r="94" ht="10.5" customHeight="1"/>
    <row r="95" spans="1:105" s="82" customFormat="1" ht="45" customHeight="1">
      <c r="A95" s="201" t="s">
        <v>192</v>
      </c>
      <c r="B95" s="202"/>
      <c r="C95" s="202"/>
      <c r="D95" s="202"/>
      <c r="E95" s="202"/>
      <c r="F95" s="202"/>
      <c r="G95" s="203"/>
      <c r="H95" s="201" t="s">
        <v>273</v>
      </c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3"/>
      <c r="AP95" s="201" t="s">
        <v>281</v>
      </c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3"/>
      <c r="BF95" s="201" t="s">
        <v>282</v>
      </c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3"/>
      <c r="BV95" s="201" t="s">
        <v>283</v>
      </c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3"/>
      <c r="CL95" s="201" t="s">
        <v>240</v>
      </c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3"/>
    </row>
    <row r="96" spans="1:105" s="83" customFormat="1" ht="12.75">
      <c r="A96" s="416">
        <v>1</v>
      </c>
      <c r="B96" s="416"/>
      <c r="C96" s="416"/>
      <c r="D96" s="416"/>
      <c r="E96" s="416"/>
      <c r="F96" s="416"/>
      <c r="G96" s="416"/>
      <c r="H96" s="416">
        <v>2</v>
      </c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>
        <v>3</v>
      </c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>
        <v>4</v>
      </c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>
        <v>5</v>
      </c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>
        <v>6</v>
      </c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</row>
    <row r="97" spans="1:105" s="84" customFormat="1" ht="15" customHeight="1">
      <c r="A97" s="407"/>
      <c r="B97" s="407"/>
      <c r="C97" s="407"/>
      <c r="D97" s="407"/>
      <c r="E97" s="407"/>
      <c r="F97" s="407"/>
      <c r="G97" s="407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9"/>
      <c r="AQ97" s="409"/>
      <c r="AR97" s="409"/>
      <c r="AS97" s="409"/>
      <c r="AT97" s="409"/>
      <c r="AU97" s="409"/>
      <c r="AV97" s="409"/>
      <c r="AW97" s="409"/>
      <c r="AX97" s="409"/>
      <c r="AY97" s="409"/>
      <c r="AZ97" s="409"/>
      <c r="BA97" s="409"/>
      <c r="BB97" s="409"/>
      <c r="BC97" s="409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09"/>
      <c r="BY97" s="409"/>
      <c r="BZ97" s="409"/>
      <c r="CA97" s="409"/>
      <c r="CB97" s="409"/>
      <c r="CC97" s="409"/>
      <c r="CD97" s="409"/>
      <c r="CE97" s="409"/>
      <c r="CF97" s="409"/>
      <c r="CG97" s="409"/>
      <c r="CH97" s="409"/>
      <c r="CI97" s="409"/>
      <c r="CJ97" s="409"/>
      <c r="CK97" s="409"/>
      <c r="CL97" s="409"/>
      <c r="CM97" s="409"/>
      <c r="CN97" s="409"/>
      <c r="CO97" s="409"/>
      <c r="CP97" s="409"/>
      <c r="CQ97" s="409"/>
      <c r="CR97" s="409"/>
      <c r="CS97" s="409"/>
      <c r="CT97" s="409"/>
      <c r="CU97" s="409"/>
      <c r="CV97" s="409"/>
      <c r="CW97" s="409"/>
      <c r="CX97" s="409"/>
      <c r="CY97" s="409"/>
      <c r="CZ97" s="409"/>
      <c r="DA97" s="409"/>
    </row>
    <row r="98" spans="1:105" s="84" customFormat="1" ht="15" customHeight="1">
      <c r="A98" s="407"/>
      <c r="B98" s="407"/>
      <c r="C98" s="407"/>
      <c r="D98" s="407"/>
      <c r="E98" s="407"/>
      <c r="F98" s="407"/>
      <c r="G98" s="407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9"/>
      <c r="AQ98" s="409"/>
      <c r="AR98" s="409"/>
      <c r="AS98" s="409"/>
      <c r="AT98" s="409"/>
      <c r="AU98" s="409"/>
      <c r="AV98" s="409"/>
      <c r="AW98" s="409"/>
      <c r="AX98" s="409"/>
      <c r="AY98" s="409"/>
      <c r="AZ98" s="409"/>
      <c r="BA98" s="409"/>
      <c r="BB98" s="409"/>
      <c r="BC98" s="409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09"/>
      <c r="CY98" s="409"/>
      <c r="CZ98" s="409"/>
      <c r="DA98" s="409"/>
    </row>
    <row r="99" spans="1:105" s="84" customFormat="1" ht="15" customHeight="1">
      <c r="A99" s="407"/>
      <c r="B99" s="407"/>
      <c r="C99" s="407"/>
      <c r="D99" s="407"/>
      <c r="E99" s="407"/>
      <c r="F99" s="407"/>
      <c r="G99" s="407"/>
      <c r="H99" s="444" t="s">
        <v>284</v>
      </c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6"/>
      <c r="AP99" s="409" t="s">
        <v>234</v>
      </c>
      <c r="AQ99" s="409"/>
      <c r="AR99" s="409"/>
      <c r="AS99" s="409"/>
      <c r="AT99" s="409"/>
      <c r="AU99" s="409"/>
      <c r="AV99" s="409"/>
      <c r="AW99" s="409"/>
      <c r="AX99" s="409"/>
      <c r="AY99" s="409"/>
      <c r="AZ99" s="409"/>
      <c r="BA99" s="409"/>
      <c r="BB99" s="409"/>
      <c r="BC99" s="409"/>
      <c r="BD99" s="409"/>
      <c r="BE99" s="409"/>
      <c r="BF99" s="409" t="s">
        <v>234</v>
      </c>
      <c r="BG99" s="409"/>
      <c r="BH99" s="409"/>
      <c r="BI99" s="409"/>
      <c r="BJ99" s="409"/>
      <c r="BK99" s="409"/>
      <c r="BL99" s="409"/>
      <c r="BM99" s="409"/>
      <c r="BN99" s="409"/>
      <c r="BO99" s="409"/>
      <c r="BP99" s="409"/>
      <c r="BQ99" s="409"/>
      <c r="BR99" s="409"/>
      <c r="BS99" s="409"/>
      <c r="BT99" s="409"/>
      <c r="BU99" s="409"/>
      <c r="BV99" s="409" t="s">
        <v>234</v>
      </c>
      <c r="BW99" s="409"/>
      <c r="BX99" s="409"/>
      <c r="BY99" s="409"/>
      <c r="BZ99" s="409"/>
      <c r="CA99" s="409"/>
      <c r="CB99" s="409"/>
      <c r="CC99" s="409"/>
      <c r="CD99" s="409"/>
      <c r="CE99" s="409"/>
      <c r="CF99" s="409"/>
      <c r="CG99" s="409"/>
      <c r="CH99" s="409"/>
      <c r="CI99" s="409"/>
      <c r="CJ99" s="409"/>
      <c r="CK99" s="409"/>
      <c r="CL99" s="409"/>
      <c r="CM99" s="409"/>
      <c r="CN99" s="409"/>
      <c r="CO99" s="409"/>
      <c r="CP99" s="409"/>
      <c r="CQ99" s="409"/>
      <c r="CR99" s="409"/>
      <c r="CS99" s="409"/>
      <c r="CT99" s="409"/>
      <c r="CU99" s="409"/>
      <c r="CV99" s="409"/>
      <c r="CW99" s="409"/>
      <c r="CX99" s="409"/>
      <c r="CY99" s="409"/>
      <c r="CZ99" s="409"/>
      <c r="DA99" s="409"/>
    </row>
    <row r="100" ht="10.5" customHeight="1"/>
    <row r="101" spans="1:105" s="80" customFormat="1" ht="14.25">
      <c r="A101" s="199" t="s">
        <v>285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</row>
    <row r="102" ht="10.5" customHeight="1"/>
    <row r="103" spans="1:105" s="82" customFormat="1" ht="45" customHeight="1">
      <c r="A103" s="419" t="s">
        <v>192</v>
      </c>
      <c r="B103" s="420"/>
      <c r="C103" s="420"/>
      <c r="D103" s="420"/>
      <c r="E103" s="420"/>
      <c r="F103" s="420"/>
      <c r="G103" s="421"/>
      <c r="H103" s="419" t="s">
        <v>273</v>
      </c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0"/>
      <c r="U103" s="420"/>
      <c r="V103" s="420"/>
      <c r="W103" s="420"/>
      <c r="X103" s="420"/>
      <c r="Y103" s="420"/>
      <c r="Z103" s="420"/>
      <c r="AA103" s="420"/>
      <c r="AB103" s="420"/>
      <c r="AC103" s="420"/>
      <c r="AD103" s="420"/>
      <c r="AE103" s="420"/>
      <c r="AF103" s="420"/>
      <c r="AG103" s="420"/>
      <c r="AH103" s="420"/>
      <c r="AI103" s="420"/>
      <c r="AJ103" s="420"/>
      <c r="AK103" s="420"/>
      <c r="AL103" s="420"/>
      <c r="AM103" s="420"/>
      <c r="AN103" s="420"/>
      <c r="AO103" s="420"/>
      <c r="AP103" s="420"/>
      <c r="AQ103" s="420"/>
      <c r="AR103" s="420"/>
      <c r="AS103" s="420"/>
      <c r="AT103" s="420"/>
      <c r="AU103" s="420"/>
      <c r="AV103" s="420"/>
      <c r="AW103" s="420"/>
      <c r="AX103" s="420"/>
      <c r="AY103" s="420"/>
      <c r="AZ103" s="420"/>
      <c r="BA103" s="420"/>
      <c r="BB103" s="420"/>
      <c r="BC103" s="421"/>
      <c r="BD103" s="419" t="s">
        <v>286</v>
      </c>
      <c r="BE103" s="420"/>
      <c r="BF103" s="420"/>
      <c r="BG103" s="420"/>
      <c r="BH103" s="420"/>
      <c r="BI103" s="420"/>
      <c r="BJ103" s="420"/>
      <c r="BK103" s="420"/>
      <c r="BL103" s="420"/>
      <c r="BM103" s="420"/>
      <c r="BN103" s="420"/>
      <c r="BO103" s="420"/>
      <c r="BP103" s="420"/>
      <c r="BQ103" s="420"/>
      <c r="BR103" s="420"/>
      <c r="BS103" s="421"/>
      <c r="BT103" s="419" t="s">
        <v>287</v>
      </c>
      <c r="BU103" s="420"/>
      <c r="BV103" s="420"/>
      <c r="BW103" s="420"/>
      <c r="BX103" s="420"/>
      <c r="BY103" s="420"/>
      <c r="BZ103" s="420"/>
      <c r="CA103" s="420"/>
      <c r="CB103" s="420"/>
      <c r="CC103" s="420"/>
      <c r="CD103" s="420"/>
      <c r="CE103" s="420"/>
      <c r="CF103" s="420"/>
      <c r="CG103" s="420"/>
      <c r="CH103" s="420"/>
      <c r="CI103" s="421"/>
      <c r="CJ103" s="419" t="s">
        <v>288</v>
      </c>
      <c r="CK103" s="420"/>
      <c r="CL103" s="420"/>
      <c r="CM103" s="420"/>
      <c r="CN103" s="420"/>
      <c r="CO103" s="420"/>
      <c r="CP103" s="420"/>
      <c r="CQ103" s="420"/>
      <c r="CR103" s="420"/>
      <c r="CS103" s="420"/>
      <c r="CT103" s="420"/>
      <c r="CU103" s="420"/>
      <c r="CV103" s="420"/>
      <c r="CW103" s="420"/>
      <c r="CX103" s="420"/>
      <c r="CY103" s="420"/>
      <c r="CZ103" s="420"/>
      <c r="DA103" s="421"/>
    </row>
    <row r="104" spans="1:105" s="83" customFormat="1" ht="12.75">
      <c r="A104" s="416">
        <v>1</v>
      </c>
      <c r="B104" s="416"/>
      <c r="C104" s="416"/>
      <c r="D104" s="416"/>
      <c r="E104" s="416"/>
      <c r="F104" s="416"/>
      <c r="G104" s="416"/>
      <c r="H104" s="416">
        <v>2</v>
      </c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>
        <v>3</v>
      </c>
      <c r="BE104" s="416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6">
        <v>4</v>
      </c>
      <c r="BU104" s="416"/>
      <c r="BV104" s="416"/>
      <c r="BW104" s="416"/>
      <c r="BX104" s="416"/>
      <c r="BY104" s="416"/>
      <c r="BZ104" s="416"/>
      <c r="CA104" s="416"/>
      <c r="CB104" s="416"/>
      <c r="CC104" s="416"/>
      <c r="CD104" s="416"/>
      <c r="CE104" s="416"/>
      <c r="CF104" s="416"/>
      <c r="CG104" s="416"/>
      <c r="CH104" s="416"/>
      <c r="CI104" s="416"/>
      <c r="CJ104" s="416">
        <v>5</v>
      </c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416"/>
    </row>
    <row r="105" spans="1:105" s="84" customFormat="1" ht="15" customHeight="1">
      <c r="A105" s="407"/>
      <c r="B105" s="407"/>
      <c r="C105" s="407"/>
      <c r="D105" s="407"/>
      <c r="E105" s="407"/>
      <c r="F105" s="407"/>
      <c r="G105" s="407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8"/>
      <c r="AJ105" s="408"/>
      <c r="AK105" s="408"/>
      <c r="AL105" s="408"/>
      <c r="AM105" s="408"/>
      <c r="AN105" s="408"/>
      <c r="AO105" s="408"/>
      <c r="AP105" s="408"/>
      <c r="AQ105" s="408"/>
      <c r="AR105" s="408"/>
      <c r="AS105" s="408"/>
      <c r="AT105" s="408"/>
      <c r="AU105" s="408"/>
      <c r="AV105" s="408"/>
      <c r="AW105" s="408"/>
      <c r="AX105" s="408"/>
      <c r="AY105" s="408"/>
      <c r="AZ105" s="408"/>
      <c r="BA105" s="408"/>
      <c r="BB105" s="408"/>
      <c r="BC105" s="408"/>
      <c r="BD105" s="409"/>
      <c r="BE105" s="409"/>
      <c r="BF105" s="409"/>
      <c r="BG105" s="409"/>
      <c r="BH105" s="409"/>
      <c r="BI105" s="409"/>
      <c r="BJ105" s="409"/>
      <c r="BK105" s="409"/>
      <c r="BL105" s="409"/>
      <c r="BM105" s="409"/>
      <c r="BN105" s="409"/>
      <c r="BO105" s="409"/>
      <c r="BP105" s="409"/>
      <c r="BQ105" s="409"/>
      <c r="BR105" s="409"/>
      <c r="BS105" s="409"/>
      <c r="BT105" s="409"/>
      <c r="BU105" s="409"/>
      <c r="BV105" s="409"/>
      <c r="BW105" s="409"/>
      <c r="BX105" s="409"/>
      <c r="BY105" s="409"/>
      <c r="BZ105" s="409"/>
      <c r="CA105" s="409"/>
      <c r="CB105" s="409"/>
      <c r="CC105" s="409"/>
      <c r="CD105" s="409"/>
      <c r="CE105" s="409"/>
      <c r="CF105" s="409"/>
      <c r="CG105" s="409"/>
      <c r="CH105" s="409"/>
      <c r="CI105" s="409"/>
      <c r="CJ105" s="409"/>
      <c r="CK105" s="409"/>
      <c r="CL105" s="409"/>
      <c r="CM105" s="409"/>
      <c r="CN105" s="409"/>
      <c r="CO105" s="409"/>
      <c r="CP105" s="409"/>
      <c r="CQ105" s="409"/>
      <c r="CR105" s="409"/>
      <c r="CS105" s="409"/>
      <c r="CT105" s="409"/>
      <c r="CU105" s="409"/>
      <c r="CV105" s="409"/>
      <c r="CW105" s="409"/>
      <c r="CX105" s="409"/>
      <c r="CY105" s="409"/>
      <c r="CZ105" s="409"/>
      <c r="DA105" s="409"/>
    </row>
    <row r="106" spans="1:105" s="84" customFormat="1" ht="15" customHeight="1">
      <c r="A106" s="407"/>
      <c r="B106" s="407"/>
      <c r="C106" s="407"/>
      <c r="D106" s="407"/>
      <c r="E106" s="407"/>
      <c r="F106" s="407"/>
      <c r="G106" s="407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9"/>
      <c r="BE106" s="409"/>
      <c r="BF106" s="409"/>
      <c r="BG106" s="409"/>
      <c r="BH106" s="409"/>
      <c r="BI106" s="409"/>
      <c r="BJ106" s="409"/>
      <c r="BK106" s="409"/>
      <c r="BL106" s="409"/>
      <c r="BM106" s="409"/>
      <c r="BN106" s="409"/>
      <c r="BO106" s="409"/>
      <c r="BP106" s="409"/>
      <c r="BQ106" s="409"/>
      <c r="BR106" s="409"/>
      <c r="BS106" s="409"/>
      <c r="BT106" s="409"/>
      <c r="BU106" s="409"/>
      <c r="BV106" s="409"/>
      <c r="BW106" s="409"/>
      <c r="BX106" s="409"/>
      <c r="BY106" s="409"/>
      <c r="BZ106" s="409"/>
      <c r="CA106" s="409"/>
      <c r="CB106" s="409"/>
      <c r="CC106" s="409"/>
      <c r="CD106" s="409"/>
      <c r="CE106" s="409"/>
      <c r="CF106" s="409"/>
      <c r="CG106" s="409"/>
      <c r="CH106" s="409"/>
      <c r="CI106" s="409"/>
      <c r="CJ106" s="409"/>
      <c r="CK106" s="409"/>
      <c r="CL106" s="409"/>
      <c r="CM106" s="409"/>
      <c r="CN106" s="409"/>
      <c r="CO106" s="409"/>
      <c r="CP106" s="409"/>
      <c r="CQ106" s="409"/>
      <c r="CR106" s="409"/>
      <c r="CS106" s="409"/>
      <c r="CT106" s="409"/>
      <c r="CU106" s="409"/>
      <c r="CV106" s="409"/>
      <c r="CW106" s="409"/>
      <c r="CX106" s="409"/>
      <c r="CY106" s="409"/>
      <c r="CZ106" s="409"/>
      <c r="DA106" s="409"/>
    </row>
    <row r="107" spans="1:105" s="84" customFormat="1" ht="15" customHeight="1">
      <c r="A107" s="407"/>
      <c r="B107" s="407"/>
      <c r="C107" s="407"/>
      <c r="D107" s="407"/>
      <c r="E107" s="407"/>
      <c r="F107" s="407"/>
      <c r="G107" s="407"/>
      <c r="H107" s="437" t="s">
        <v>233</v>
      </c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37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8"/>
      <c r="BD107" s="409"/>
      <c r="BE107" s="409"/>
      <c r="BF107" s="409"/>
      <c r="BG107" s="409"/>
      <c r="BH107" s="409"/>
      <c r="BI107" s="409"/>
      <c r="BJ107" s="409"/>
      <c r="BK107" s="409"/>
      <c r="BL107" s="409"/>
      <c r="BM107" s="409"/>
      <c r="BN107" s="409"/>
      <c r="BO107" s="409"/>
      <c r="BP107" s="409"/>
      <c r="BQ107" s="409"/>
      <c r="BR107" s="409"/>
      <c r="BS107" s="409"/>
      <c r="BT107" s="409"/>
      <c r="BU107" s="409"/>
      <c r="BV107" s="409"/>
      <c r="BW107" s="409"/>
      <c r="BX107" s="409"/>
      <c r="BY107" s="409"/>
      <c r="BZ107" s="409"/>
      <c r="CA107" s="409"/>
      <c r="CB107" s="409"/>
      <c r="CC107" s="409"/>
      <c r="CD107" s="409"/>
      <c r="CE107" s="409"/>
      <c r="CF107" s="409"/>
      <c r="CG107" s="409"/>
      <c r="CH107" s="409"/>
      <c r="CI107" s="409"/>
      <c r="CJ107" s="409"/>
      <c r="CK107" s="409"/>
      <c r="CL107" s="409"/>
      <c r="CM107" s="409"/>
      <c r="CN107" s="409"/>
      <c r="CO107" s="409"/>
      <c r="CP107" s="409"/>
      <c r="CQ107" s="409"/>
      <c r="CR107" s="409"/>
      <c r="CS107" s="409"/>
      <c r="CT107" s="409"/>
      <c r="CU107" s="409"/>
      <c r="CV107" s="409"/>
      <c r="CW107" s="409"/>
      <c r="CX107" s="409"/>
      <c r="CY107" s="409"/>
      <c r="CZ107" s="409"/>
      <c r="DA107" s="409"/>
    </row>
    <row r="108" ht="10.5" customHeight="1"/>
    <row r="109" spans="1:105" s="80" customFormat="1" ht="14.25">
      <c r="A109" s="199" t="s">
        <v>289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</row>
    <row r="110" ht="10.5" customHeight="1"/>
    <row r="111" spans="1:105" s="82" customFormat="1" ht="45" customHeight="1">
      <c r="A111" s="201" t="s">
        <v>192</v>
      </c>
      <c r="B111" s="202"/>
      <c r="C111" s="202"/>
      <c r="D111" s="202"/>
      <c r="E111" s="202"/>
      <c r="F111" s="202"/>
      <c r="G111" s="203"/>
      <c r="H111" s="201" t="s">
        <v>0</v>
      </c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3"/>
      <c r="AP111" s="201" t="s">
        <v>290</v>
      </c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3"/>
      <c r="BF111" s="201" t="s">
        <v>291</v>
      </c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3"/>
      <c r="BV111" s="201" t="s">
        <v>292</v>
      </c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3"/>
      <c r="CL111" s="201" t="s">
        <v>293</v>
      </c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3"/>
    </row>
    <row r="112" spans="1:105" s="83" customFormat="1" ht="12.75">
      <c r="A112" s="416">
        <v>1</v>
      </c>
      <c r="B112" s="416"/>
      <c r="C112" s="416"/>
      <c r="D112" s="416"/>
      <c r="E112" s="416"/>
      <c r="F112" s="416"/>
      <c r="G112" s="416"/>
      <c r="H112" s="416">
        <v>2</v>
      </c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6"/>
      <c r="AO112" s="416"/>
      <c r="AP112" s="416">
        <v>4</v>
      </c>
      <c r="AQ112" s="416"/>
      <c r="AR112" s="416"/>
      <c r="AS112" s="416"/>
      <c r="AT112" s="416"/>
      <c r="AU112" s="416"/>
      <c r="AV112" s="416"/>
      <c r="AW112" s="416"/>
      <c r="AX112" s="416"/>
      <c r="AY112" s="416"/>
      <c r="AZ112" s="416"/>
      <c r="BA112" s="416"/>
      <c r="BB112" s="416"/>
      <c r="BC112" s="416"/>
      <c r="BD112" s="416"/>
      <c r="BE112" s="416"/>
      <c r="BF112" s="416">
        <v>5</v>
      </c>
      <c r="BG112" s="416"/>
      <c r="BH112" s="416"/>
      <c r="BI112" s="416"/>
      <c r="BJ112" s="416"/>
      <c r="BK112" s="416"/>
      <c r="BL112" s="416"/>
      <c r="BM112" s="416"/>
      <c r="BN112" s="416"/>
      <c r="BO112" s="416"/>
      <c r="BP112" s="416"/>
      <c r="BQ112" s="416"/>
      <c r="BR112" s="416"/>
      <c r="BS112" s="416"/>
      <c r="BT112" s="416"/>
      <c r="BU112" s="416"/>
      <c r="BV112" s="416">
        <v>6</v>
      </c>
      <c r="BW112" s="416"/>
      <c r="BX112" s="416"/>
      <c r="BY112" s="416"/>
      <c r="BZ112" s="416"/>
      <c r="CA112" s="416"/>
      <c r="CB112" s="416"/>
      <c r="CC112" s="416"/>
      <c r="CD112" s="416"/>
      <c r="CE112" s="416"/>
      <c r="CF112" s="416"/>
      <c r="CG112" s="416"/>
      <c r="CH112" s="416"/>
      <c r="CI112" s="416"/>
      <c r="CJ112" s="416"/>
      <c r="CK112" s="416"/>
      <c r="CL112" s="416">
        <v>6</v>
      </c>
      <c r="CM112" s="416"/>
      <c r="CN112" s="416"/>
      <c r="CO112" s="416"/>
      <c r="CP112" s="416"/>
      <c r="CQ112" s="416"/>
      <c r="CR112" s="416"/>
      <c r="CS112" s="416"/>
      <c r="CT112" s="416"/>
      <c r="CU112" s="416"/>
      <c r="CV112" s="416"/>
      <c r="CW112" s="416"/>
      <c r="CX112" s="416"/>
      <c r="CY112" s="416"/>
      <c r="CZ112" s="416"/>
      <c r="DA112" s="416"/>
    </row>
    <row r="113" spans="1:105" s="84" customFormat="1" ht="15" customHeight="1">
      <c r="A113" s="407"/>
      <c r="B113" s="407"/>
      <c r="C113" s="407"/>
      <c r="D113" s="407"/>
      <c r="E113" s="407"/>
      <c r="F113" s="407"/>
      <c r="G113" s="407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9"/>
      <c r="AQ113" s="409"/>
      <c r="AR113" s="409"/>
      <c r="AS113" s="409"/>
      <c r="AT113" s="409"/>
      <c r="AU113" s="409"/>
      <c r="AV113" s="409"/>
      <c r="AW113" s="409"/>
      <c r="AX113" s="409"/>
      <c r="AY113" s="409"/>
      <c r="AZ113" s="409"/>
      <c r="BA113" s="409"/>
      <c r="BB113" s="409"/>
      <c r="BC113" s="409"/>
      <c r="BD113" s="409"/>
      <c r="BE113" s="409"/>
      <c r="BF113" s="409"/>
      <c r="BG113" s="409"/>
      <c r="BH113" s="409"/>
      <c r="BI113" s="409"/>
      <c r="BJ113" s="409"/>
      <c r="BK113" s="409"/>
      <c r="BL113" s="409"/>
      <c r="BM113" s="409"/>
      <c r="BN113" s="409"/>
      <c r="BO113" s="409"/>
      <c r="BP113" s="409"/>
      <c r="BQ113" s="409"/>
      <c r="BR113" s="409"/>
      <c r="BS113" s="409"/>
      <c r="BT113" s="409"/>
      <c r="BU113" s="409"/>
      <c r="BV113" s="409"/>
      <c r="BW113" s="409"/>
      <c r="BX113" s="409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09"/>
      <c r="CI113" s="409"/>
      <c r="CJ113" s="409"/>
      <c r="CK113" s="409"/>
      <c r="CL113" s="409"/>
      <c r="CM113" s="409"/>
      <c r="CN113" s="409"/>
      <c r="CO113" s="409"/>
      <c r="CP113" s="409"/>
      <c r="CQ113" s="409"/>
      <c r="CR113" s="409"/>
      <c r="CS113" s="409"/>
      <c r="CT113" s="409"/>
      <c r="CU113" s="409"/>
      <c r="CV113" s="409"/>
      <c r="CW113" s="409"/>
      <c r="CX113" s="409"/>
      <c r="CY113" s="409"/>
      <c r="CZ113" s="409"/>
      <c r="DA113" s="409"/>
    </row>
    <row r="114" spans="1:105" s="84" customFormat="1" ht="15" customHeight="1">
      <c r="A114" s="407"/>
      <c r="B114" s="407"/>
      <c r="C114" s="407"/>
      <c r="D114" s="407"/>
      <c r="E114" s="407"/>
      <c r="F114" s="407"/>
      <c r="G114" s="407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9"/>
      <c r="AQ114" s="409"/>
      <c r="AR114" s="409"/>
      <c r="AS114" s="409"/>
      <c r="AT114" s="409"/>
      <c r="AU114" s="409"/>
      <c r="AV114" s="409"/>
      <c r="AW114" s="409"/>
      <c r="AX114" s="409"/>
      <c r="AY114" s="409"/>
      <c r="AZ114" s="409"/>
      <c r="BA114" s="409"/>
      <c r="BB114" s="409"/>
      <c r="BC114" s="409"/>
      <c r="BD114" s="409"/>
      <c r="BE114" s="409"/>
      <c r="BF114" s="409"/>
      <c r="BG114" s="409"/>
      <c r="BH114" s="409"/>
      <c r="BI114" s="409"/>
      <c r="BJ114" s="409"/>
      <c r="BK114" s="409"/>
      <c r="BL114" s="409"/>
      <c r="BM114" s="409"/>
      <c r="BN114" s="409"/>
      <c r="BO114" s="409"/>
      <c r="BP114" s="409"/>
      <c r="BQ114" s="409"/>
      <c r="BR114" s="409"/>
      <c r="BS114" s="409"/>
      <c r="BT114" s="409"/>
      <c r="BU114" s="409"/>
      <c r="BV114" s="409"/>
      <c r="BW114" s="409"/>
      <c r="BX114" s="409"/>
      <c r="BY114" s="409"/>
      <c r="BZ114" s="409"/>
      <c r="CA114" s="409"/>
      <c r="CB114" s="409"/>
      <c r="CC114" s="409"/>
      <c r="CD114" s="409"/>
      <c r="CE114" s="409"/>
      <c r="CF114" s="409"/>
      <c r="CG114" s="409"/>
      <c r="CH114" s="409"/>
      <c r="CI114" s="409"/>
      <c r="CJ114" s="409"/>
      <c r="CK114" s="409"/>
      <c r="CL114" s="409"/>
      <c r="CM114" s="409"/>
      <c r="CN114" s="409"/>
      <c r="CO114" s="409"/>
      <c r="CP114" s="409"/>
      <c r="CQ114" s="409"/>
      <c r="CR114" s="409"/>
      <c r="CS114" s="409"/>
      <c r="CT114" s="409"/>
      <c r="CU114" s="409"/>
      <c r="CV114" s="409"/>
      <c r="CW114" s="409"/>
      <c r="CX114" s="409"/>
      <c r="CY114" s="409"/>
      <c r="CZ114" s="409"/>
      <c r="DA114" s="409"/>
    </row>
    <row r="115" spans="1:105" s="84" customFormat="1" ht="15" customHeight="1">
      <c r="A115" s="407"/>
      <c r="B115" s="407"/>
      <c r="C115" s="407"/>
      <c r="D115" s="407"/>
      <c r="E115" s="407"/>
      <c r="F115" s="407"/>
      <c r="G115" s="407"/>
      <c r="H115" s="443" t="s">
        <v>233</v>
      </c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8"/>
      <c r="AP115" s="409" t="s">
        <v>234</v>
      </c>
      <c r="AQ115" s="409"/>
      <c r="AR115" s="409"/>
      <c r="AS115" s="409"/>
      <c r="AT115" s="409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 t="s">
        <v>234</v>
      </c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09"/>
      <c r="BU115" s="409"/>
      <c r="BV115" s="409" t="s">
        <v>234</v>
      </c>
      <c r="BW115" s="409"/>
      <c r="BX115" s="409"/>
      <c r="BY115" s="409"/>
      <c r="BZ115" s="409"/>
      <c r="CA115" s="409"/>
      <c r="CB115" s="409"/>
      <c r="CC115" s="409"/>
      <c r="CD115" s="409"/>
      <c r="CE115" s="409"/>
      <c r="CF115" s="409"/>
      <c r="CG115" s="409"/>
      <c r="CH115" s="409"/>
      <c r="CI115" s="409"/>
      <c r="CJ115" s="409"/>
      <c r="CK115" s="409"/>
      <c r="CL115" s="409"/>
      <c r="CM115" s="409"/>
      <c r="CN115" s="409"/>
      <c r="CO115" s="409"/>
      <c r="CP115" s="409"/>
      <c r="CQ115" s="409"/>
      <c r="CR115" s="409"/>
      <c r="CS115" s="409"/>
      <c r="CT115" s="409"/>
      <c r="CU115" s="409"/>
      <c r="CV115" s="409"/>
      <c r="CW115" s="409"/>
      <c r="CX115" s="409"/>
      <c r="CY115" s="409"/>
      <c r="CZ115" s="409"/>
      <c r="DA115" s="409"/>
    </row>
    <row r="117" spans="1:105" s="80" customFormat="1" ht="14.25">
      <c r="A117" s="199" t="s">
        <v>294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</row>
    <row r="118" ht="10.5" customHeight="1"/>
    <row r="119" spans="1:105" s="82" customFormat="1" ht="45" customHeight="1">
      <c r="A119" s="419" t="s">
        <v>192</v>
      </c>
      <c r="B119" s="420"/>
      <c r="C119" s="420"/>
      <c r="D119" s="420"/>
      <c r="E119" s="420"/>
      <c r="F119" s="420"/>
      <c r="G119" s="421"/>
      <c r="H119" s="419" t="s">
        <v>0</v>
      </c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0"/>
      <c r="AG119" s="420"/>
      <c r="AH119" s="420"/>
      <c r="AI119" s="420"/>
      <c r="AJ119" s="420"/>
      <c r="AK119" s="420"/>
      <c r="AL119" s="420"/>
      <c r="AM119" s="420"/>
      <c r="AN119" s="420"/>
      <c r="AO119" s="420"/>
      <c r="AP119" s="420"/>
      <c r="AQ119" s="420"/>
      <c r="AR119" s="420"/>
      <c r="AS119" s="420"/>
      <c r="AT119" s="420"/>
      <c r="AU119" s="420"/>
      <c r="AV119" s="420"/>
      <c r="AW119" s="420"/>
      <c r="AX119" s="420"/>
      <c r="AY119" s="420"/>
      <c r="AZ119" s="420"/>
      <c r="BA119" s="420"/>
      <c r="BB119" s="420"/>
      <c r="BC119" s="421"/>
      <c r="BD119" s="419" t="s">
        <v>295</v>
      </c>
      <c r="BE119" s="420"/>
      <c r="BF119" s="420"/>
      <c r="BG119" s="420"/>
      <c r="BH119" s="420"/>
      <c r="BI119" s="420"/>
      <c r="BJ119" s="420"/>
      <c r="BK119" s="420"/>
      <c r="BL119" s="420"/>
      <c r="BM119" s="420"/>
      <c r="BN119" s="420"/>
      <c r="BO119" s="420"/>
      <c r="BP119" s="420"/>
      <c r="BQ119" s="420"/>
      <c r="BR119" s="420"/>
      <c r="BS119" s="421"/>
      <c r="BT119" s="419" t="s">
        <v>296</v>
      </c>
      <c r="BU119" s="420"/>
      <c r="BV119" s="420"/>
      <c r="BW119" s="420"/>
      <c r="BX119" s="420"/>
      <c r="BY119" s="420"/>
      <c r="BZ119" s="420"/>
      <c r="CA119" s="420"/>
      <c r="CB119" s="420"/>
      <c r="CC119" s="420"/>
      <c r="CD119" s="420"/>
      <c r="CE119" s="420"/>
      <c r="CF119" s="420"/>
      <c r="CG119" s="420"/>
      <c r="CH119" s="420"/>
      <c r="CI119" s="421"/>
      <c r="CJ119" s="419" t="s">
        <v>297</v>
      </c>
      <c r="CK119" s="420"/>
      <c r="CL119" s="420"/>
      <c r="CM119" s="420"/>
      <c r="CN119" s="420"/>
      <c r="CO119" s="420"/>
      <c r="CP119" s="420"/>
      <c r="CQ119" s="420"/>
      <c r="CR119" s="420"/>
      <c r="CS119" s="420"/>
      <c r="CT119" s="420"/>
      <c r="CU119" s="420"/>
      <c r="CV119" s="420"/>
      <c r="CW119" s="420"/>
      <c r="CX119" s="420"/>
      <c r="CY119" s="420"/>
      <c r="CZ119" s="420"/>
      <c r="DA119" s="421"/>
    </row>
    <row r="120" spans="1:105" s="83" customFormat="1" ht="12.75">
      <c r="A120" s="416">
        <v>1</v>
      </c>
      <c r="B120" s="416"/>
      <c r="C120" s="416"/>
      <c r="D120" s="416"/>
      <c r="E120" s="416"/>
      <c r="F120" s="416"/>
      <c r="G120" s="416"/>
      <c r="H120" s="416">
        <v>2</v>
      </c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6"/>
      <c r="Y120" s="416"/>
      <c r="Z120" s="416"/>
      <c r="AA120" s="416"/>
      <c r="AB120" s="416"/>
      <c r="AC120" s="416"/>
      <c r="AD120" s="416"/>
      <c r="AE120" s="416"/>
      <c r="AF120" s="416"/>
      <c r="AG120" s="416"/>
      <c r="AH120" s="416"/>
      <c r="AI120" s="416"/>
      <c r="AJ120" s="416"/>
      <c r="AK120" s="416"/>
      <c r="AL120" s="416"/>
      <c r="AM120" s="416"/>
      <c r="AN120" s="416"/>
      <c r="AO120" s="416"/>
      <c r="AP120" s="416"/>
      <c r="AQ120" s="416"/>
      <c r="AR120" s="416"/>
      <c r="AS120" s="416"/>
      <c r="AT120" s="416"/>
      <c r="AU120" s="416"/>
      <c r="AV120" s="416"/>
      <c r="AW120" s="416"/>
      <c r="AX120" s="416"/>
      <c r="AY120" s="416"/>
      <c r="AZ120" s="416"/>
      <c r="BA120" s="416"/>
      <c r="BB120" s="416"/>
      <c r="BC120" s="416"/>
      <c r="BD120" s="416">
        <v>4</v>
      </c>
      <c r="BE120" s="416"/>
      <c r="BF120" s="416"/>
      <c r="BG120" s="416"/>
      <c r="BH120" s="416"/>
      <c r="BI120" s="416"/>
      <c r="BJ120" s="416"/>
      <c r="BK120" s="416"/>
      <c r="BL120" s="416"/>
      <c r="BM120" s="416"/>
      <c r="BN120" s="416"/>
      <c r="BO120" s="416"/>
      <c r="BP120" s="416"/>
      <c r="BQ120" s="416"/>
      <c r="BR120" s="416"/>
      <c r="BS120" s="416"/>
      <c r="BT120" s="416">
        <v>5</v>
      </c>
      <c r="BU120" s="416"/>
      <c r="BV120" s="416"/>
      <c r="BW120" s="416"/>
      <c r="BX120" s="416"/>
      <c r="BY120" s="416"/>
      <c r="BZ120" s="416"/>
      <c r="CA120" s="416"/>
      <c r="CB120" s="416"/>
      <c r="CC120" s="416"/>
      <c r="CD120" s="416"/>
      <c r="CE120" s="416"/>
      <c r="CF120" s="416"/>
      <c r="CG120" s="416"/>
      <c r="CH120" s="416"/>
      <c r="CI120" s="416"/>
      <c r="CJ120" s="416">
        <v>6</v>
      </c>
      <c r="CK120" s="416"/>
      <c r="CL120" s="416"/>
      <c r="CM120" s="416"/>
      <c r="CN120" s="416"/>
      <c r="CO120" s="416"/>
      <c r="CP120" s="416"/>
      <c r="CQ120" s="416"/>
      <c r="CR120" s="416"/>
      <c r="CS120" s="416"/>
      <c r="CT120" s="416"/>
      <c r="CU120" s="416"/>
      <c r="CV120" s="416"/>
      <c r="CW120" s="416"/>
      <c r="CX120" s="416"/>
      <c r="CY120" s="416"/>
      <c r="CZ120" s="416"/>
      <c r="DA120" s="416"/>
    </row>
    <row r="121" spans="1:105" s="84" customFormat="1" ht="15" customHeight="1">
      <c r="A121" s="407"/>
      <c r="B121" s="407"/>
      <c r="C121" s="407"/>
      <c r="D121" s="407"/>
      <c r="E121" s="407"/>
      <c r="F121" s="407"/>
      <c r="G121" s="407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9"/>
      <c r="BE121" s="409"/>
      <c r="BF121" s="409"/>
      <c r="BG121" s="409"/>
      <c r="BH121" s="409"/>
      <c r="BI121" s="409"/>
      <c r="BJ121" s="409"/>
      <c r="BK121" s="409"/>
      <c r="BL121" s="409"/>
      <c r="BM121" s="409"/>
      <c r="BN121" s="409"/>
      <c r="BO121" s="409"/>
      <c r="BP121" s="409"/>
      <c r="BQ121" s="409"/>
      <c r="BR121" s="409"/>
      <c r="BS121" s="409"/>
      <c r="BT121" s="409"/>
      <c r="BU121" s="409"/>
      <c r="BV121" s="409"/>
      <c r="BW121" s="409"/>
      <c r="BX121" s="409"/>
      <c r="BY121" s="409"/>
      <c r="BZ121" s="409"/>
      <c r="CA121" s="409"/>
      <c r="CB121" s="409"/>
      <c r="CC121" s="409"/>
      <c r="CD121" s="409"/>
      <c r="CE121" s="409"/>
      <c r="CF121" s="409"/>
      <c r="CG121" s="409"/>
      <c r="CH121" s="409"/>
      <c r="CI121" s="409"/>
      <c r="CJ121" s="409"/>
      <c r="CK121" s="409"/>
      <c r="CL121" s="409"/>
      <c r="CM121" s="409"/>
      <c r="CN121" s="409"/>
      <c r="CO121" s="409"/>
      <c r="CP121" s="409"/>
      <c r="CQ121" s="409"/>
      <c r="CR121" s="409"/>
      <c r="CS121" s="409"/>
      <c r="CT121" s="409"/>
      <c r="CU121" s="409"/>
      <c r="CV121" s="409"/>
      <c r="CW121" s="409"/>
      <c r="CX121" s="409"/>
      <c r="CY121" s="409"/>
      <c r="CZ121" s="409"/>
      <c r="DA121" s="409"/>
    </row>
    <row r="122" spans="1:105" s="84" customFormat="1" ht="15" customHeight="1">
      <c r="A122" s="407"/>
      <c r="B122" s="407"/>
      <c r="C122" s="407"/>
      <c r="D122" s="407"/>
      <c r="E122" s="407"/>
      <c r="F122" s="407"/>
      <c r="G122" s="407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08"/>
      <c r="AQ122" s="408"/>
      <c r="AR122" s="408"/>
      <c r="AS122" s="408"/>
      <c r="AT122" s="408"/>
      <c r="AU122" s="408"/>
      <c r="AV122" s="408"/>
      <c r="AW122" s="408"/>
      <c r="AX122" s="408"/>
      <c r="AY122" s="408"/>
      <c r="AZ122" s="408"/>
      <c r="BA122" s="408"/>
      <c r="BB122" s="408"/>
      <c r="BC122" s="408"/>
      <c r="BD122" s="409"/>
      <c r="BE122" s="409"/>
      <c r="BF122" s="409"/>
      <c r="BG122" s="409"/>
      <c r="BH122" s="409"/>
      <c r="BI122" s="409"/>
      <c r="BJ122" s="409"/>
      <c r="BK122" s="409"/>
      <c r="BL122" s="409"/>
      <c r="BM122" s="409"/>
      <c r="BN122" s="409"/>
      <c r="BO122" s="409"/>
      <c r="BP122" s="409"/>
      <c r="BQ122" s="409"/>
      <c r="BR122" s="409"/>
      <c r="BS122" s="409"/>
      <c r="BT122" s="409"/>
      <c r="BU122" s="409"/>
      <c r="BV122" s="409"/>
      <c r="BW122" s="409"/>
      <c r="BX122" s="409"/>
      <c r="BY122" s="409"/>
      <c r="BZ122" s="409"/>
      <c r="CA122" s="409"/>
      <c r="CB122" s="409"/>
      <c r="CC122" s="409"/>
      <c r="CD122" s="409"/>
      <c r="CE122" s="409"/>
      <c r="CF122" s="409"/>
      <c r="CG122" s="409"/>
      <c r="CH122" s="409"/>
      <c r="CI122" s="409"/>
      <c r="CJ122" s="409"/>
      <c r="CK122" s="409"/>
      <c r="CL122" s="409"/>
      <c r="CM122" s="409"/>
      <c r="CN122" s="409"/>
      <c r="CO122" s="409"/>
      <c r="CP122" s="409"/>
      <c r="CQ122" s="409"/>
      <c r="CR122" s="409"/>
      <c r="CS122" s="409"/>
      <c r="CT122" s="409"/>
      <c r="CU122" s="409"/>
      <c r="CV122" s="409"/>
      <c r="CW122" s="409"/>
      <c r="CX122" s="409"/>
      <c r="CY122" s="409"/>
      <c r="CZ122" s="409"/>
      <c r="DA122" s="409"/>
    </row>
    <row r="123" spans="1:105" s="84" customFormat="1" ht="15" customHeight="1">
      <c r="A123" s="407"/>
      <c r="B123" s="407"/>
      <c r="C123" s="407"/>
      <c r="D123" s="407"/>
      <c r="E123" s="407"/>
      <c r="F123" s="407"/>
      <c r="G123" s="407"/>
      <c r="H123" s="437" t="s">
        <v>233</v>
      </c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8"/>
      <c r="BD123" s="409" t="s">
        <v>234</v>
      </c>
      <c r="BE123" s="409"/>
      <c r="BF123" s="409"/>
      <c r="BG123" s="409"/>
      <c r="BH123" s="409"/>
      <c r="BI123" s="409"/>
      <c r="BJ123" s="409"/>
      <c r="BK123" s="409"/>
      <c r="BL123" s="409"/>
      <c r="BM123" s="409"/>
      <c r="BN123" s="409"/>
      <c r="BO123" s="409"/>
      <c r="BP123" s="409"/>
      <c r="BQ123" s="409"/>
      <c r="BR123" s="409"/>
      <c r="BS123" s="409"/>
      <c r="BT123" s="409" t="s">
        <v>234</v>
      </c>
      <c r="BU123" s="409"/>
      <c r="BV123" s="409"/>
      <c r="BW123" s="409"/>
      <c r="BX123" s="409"/>
      <c r="BY123" s="409"/>
      <c r="BZ123" s="409"/>
      <c r="CA123" s="409"/>
      <c r="CB123" s="409"/>
      <c r="CC123" s="409"/>
      <c r="CD123" s="409"/>
      <c r="CE123" s="409"/>
      <c r="CF123" s="409"/>
      <c r="CG123" s="409"/>
      <c r="CH123" s="409"/>
      <c r="CI123" s="409"/>
      <c r="CJ123" s="409" t="s">
        <v>234</v>
      </c>
      <c r="CK123" s="409"/>
      <c r="CL123" s="409"/>
      <c r="CM123" s="409"/>
      <c r="CN123" s="409"/>
      <c r="CO123" s="409"/>
      <c r="CP123" s="409"/>
      <c r="CQ123" s="409"/>
      <c r="CR123" s="409"/>
      <c r="CS123" s="409"/>
      <c r="CT123" s="409"/>
      <c r="CU123" s="409"/>
      <c r="CV123" s="409"/>
      <c r="CW123" s="409"/>
      <c r="CX123" s="409"/>
      <c r="CY123" s="409"/>
      <c r="CZ123" s="409"/>
      <c r="DA123" s="409"/>
    </row>
    <row r="125" spans="1:105" s="80" customFormat="1" ht="14.25">
      <c r="A125" s="199" t="s">
        <v>298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</row>
    <row r="126" ht="10.5" customHeight="1"/>
    <row r="127" spans="1:105" s="82" customFormat="1" ht="45" customHeight="1">
      <c r="A127" s="419" t="s">
        <v>192</v>
      </c>
      <c r="B127" s="420"/>
      <c r="C127" s="420"/>
      <c r="D127" s="420"/>
      <c r="E127" s="420"/>
      <c r="F127" s="420"/>
      <c r="G127" s="421"/>
      <c r="H127" s="419" t="s">
        <v>273</v>
      </c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420"/>
      <c r="V127" s="420"/>
      <c r="W127" s="420"/>
      <c r="X127" s="420"/>
      <c r="Y127" s="420"/>
      <c r="Z127" s="420"/>
      <c r="AA127" s="420"/>
      <c r="AB127" s="420"/>
      <c r="AC127" s="420"/>
      <c r="AD127" s="420"/>
      <c r="AE127" s="420"/>
      <c r="AF127" s="420"/>
      <c r="AG127" s="420"/>
      <c r="AH127" s="420"/>
      <c r="AI127" s="420"/>
      <c r="AJ127" s="420"/>
      <c r="AK127" s="420"/>
      <c r="AL127" s="420"/>
      <c r="AM127" s="420"/>
      <c r="AN127" s="420"/>
      <c r="AO127" s="420"/>
      <c r="AP127" s="420"/>
      <c r="AQ127" s="420"/>
      <c r="AR127" s="420"/>
      <c r="AS127" s="420"/>
      <c r="AT127" s="420"/>
      <c r="AU127" s="420"/>
      <c r="AV127" s="420"/>
      <c r="AW127" s="420"/>
      <c r="AX127" s="420"/>
      <c r="AY127" s="420"/>
      <c r="AZ127" s="420"/>
      <c r="BA127" s="420"/>
      <c r="BB127" s="420"/>
      <c r="BC127" s="421"/>
      <c r="BD127" s="419" t="s">
        <v>299</v>
      </c>
      <c r="BE127" s="420"/>
      <c r="BF127" s="420"/>
      <c r="BG127" s="420"/>
      <c r="BH127" s="420"/>
      <c r="BI127" s="420"/>
      <c r="BJ127" s="420"/>
      <c r="BK127" s="420"/>
      <c r="BL127" s="420"/>
      <c r="BM127" s="420"/>
      <c r="BN127" s="420"/>
      <c r="BO127" s="420"/>
      <c r="BP127" s="420"/>
      <c r="BQ127" s="420"/>
      <c r="BR127" s="420"/>
      <c r="BS127" s="421"/>
      <c r="BT127" s="419" t="s">
        <v>300</v>
      </c>
      <c r="BU127" s="420"/>
      <c r="BV127" s="420"/>
      <c r="BW127" s="420"/>
      <c r="BX127" s="420"/>
      <c r="BY127" s="420"/>
      <c r="BZ127" s="420"/>
      <c r="CA127" s="420"/>
      <c r="CB127" s="420"/>
      <c r="CC127" s="420"/>
      <c r="CD127" s="420"/>
      <c r="CE127" s="420"/>
      <c r="CF127" s="420"/>
      <c r="CG127" s="420"/>
      <c r="CH127" s="420"/>
      <c r="CI127" s="421"/>
      <c r="CJ127" s="419" t="s">
        <v>301</v>
      </c>
      <c r="CK127" s="420"/>
      <c r="CL127" s="420"/>
      <c r="CM127" s="420"/>
      <c r="CN127" s="420"/>
      <c r="CO127" s="420"/>
      <c r="CP127" s="420"/>
      <c r="CQ127" s="420"/>
      <c r="CR127" s="420"/>
      <c r="CS127" s="420"/>
      <c r="CT127" s="420"/>
      <c r="CU127" s="420"/>
      <c r="CV127" s="420"/>
      <c r="CW127" s="420"/>
      <c r="CX127" s="420"/>
      <c r="CY127" s="420"/>
      <c r="CZ127" s="420"/>
      <c r="DA127" s="421"/>
    </row>
    <row r="128" spans="1:105" s="83" customFormat="1" ht="12.75">
      <c r="A128" s="416">
        <v>1</v>
      </c>
      <c r="B128" s="416"/>
      <c r="C128" s="416"/>
      <c r="D128" s="416"/>
      <c r="E128" s="416"/>
      <c r="F128" s="416"/>
      <c r="G128" s="416"/>
      <c r="H128" s="416">
        <v>2</v>
      </c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416"/>
      <c r="U128" s="416"/>
      <c r="V128" s="416"/>
      <c r="W128" s="416"/>
      <c r="X128" s="416"/>
      <c r="Y128" s="416"/>
      <c r="Z128" s="416"/>
      <c r="AA128" s="416"/>
      <c r="AB128" s="416"/>
      <c r="AC128" s="416"/>
      <c r="AD128" s="416"/>
      <c r="AE128" s="416"/>
      <c r="AF128" s="416"/>
      <c r="AG128" s="416"/>
      <c r="AH128" s="416"/>
      <c r="AI128" s="416"/>
      <c r="AJ128" s="416"/>
      <c r="AK128" s="416"/>
      <c r="AL128" s="416"/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>
        <v>3</v>
      </c>
      <c r="BE128" s="416"/>
      <c r="BF128" s="416"/>
      <c r="BG128" s="416"/>
      <c r="BH128" s="416"/>
      <c r="BI128" s="416"/>
      <c r="BJ128" s="416"/>
      <c r="BK128" s="416"/>
      <c r="BL128" s="416"/>
      <c r="BM128" s="416"/>
      <c r="BN128" s="416"/>
      <c r="BO128" s="416"/>
      <c r="BP128" s="416"/>
      <c r="BQ128" s="416"/>
      <c r="BR128" s="416"/>
      <c r="BS128" s="416"/>
      <c r="BT128" s="416">
        <v>4</v>
      </c>
      <c r="BU128" s="416"/>
      <c r="BV128" s="416"/>
      <c r="BW128" s="416"/>
      <c r="BX128" s="416"/>
      <c r="BY128" s="416"/>
      <c r="BZ128" s="416"/>
      <c r="CA128" s="416"/>
      <c r="CB128" s="416"/>
      <c r="CC128" s="416"/>
      <c r="CD128" s="416"/>
      <c r="CE128" s="416"/>
      <c r="CF128" s="416"/>
      <c r="CG128" s="416"/>
      <c r="CH128" s="416"/>
      <c r="CI128" s="416"/>
      <c r="CJ128" s="416">
        <v>5</v>
      </c>
      <c r="CK128" s="416"/>
      <c r="CL128" s="416"/>
      <c r="CM128" s="416"/>
      <c r="CN128" s="416"/>
      <c r="CO128" s="416"/>
      <c r="CP128" s="416"/>
      <c r="CQ128" s="416"/>
      <c r="CR128" s="416"/>
      <c r="CS128" s="416"/>
      <c r="CT128" s="416"/>
      <c r="CU128" s="416"/>
      <c r="CV128" s="416"/>
      <c r="CW128" s="416"/>
      <c r="CX128" s="416"/>
      <c r="CY128" s="416"/>
      <c r="CZ128" s="416"/>
      <c r="DA128" s="416"/>
    </row>
    <row r="129" spans="1:105" s="84" customFormat="1" ht="15" customHeight="1">
      <c r="A129" s="407"/>
      <c r="B129" s="407"/>
      <c r="C129" s="407"/>
      <c r="D129" s="407"/>
      <c r="E129" s="407"/>
      <c r="F129" s="407"/>
      <c r="G129" s="407"/>
      <c r="H129" s="408"/>
      <c r="I129" s="408"/>
      <c r="J129" s="408"/>
      <c r="K129" s="408"/>
      <c r="L129" s="408"/>
      <c r="M129" s="408"/>
      <c r="N129" s="408"/>
      <c r="O129" s="408"/>
      <c r="P129" s="408"/>
      <c r="Q129" s="408"/>
      <c r="R129" s="408"/>
      <c r="S129" s="408"/>
      <c r="T129" s="408"/>
      <c r="U129" s="408"/>
      <c r="V129" s="408"/>
      <c r="W129" s="408"/>
      <c r="X129" s="408"/>
      <c r="Y129" s="408"/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408"/>
      <c r="AM129" s="408"/>
      <c r="AN129" s="408"/>
      <c r="AO129" s="408"/>
      <c r="AP129" s="408"/>
      <c r="AQ129" s="408"/>
      <c r="AR129" s="408"/>
      <c r="AS129" s="408"/>
      <c r="AT129" s="408"/>
      <c r="AU129" s="408"/>
      <c r="AV129" s="408"/>
      <c r="AW129" s="408"/>
      <c r="AX129" s="408"/>
      <c r="AY129" s="408"/>
      <c r="AZ129" s="408"/>
      <c r="BA129" s="408"/>
      <c r="BB129" s="408"/>
      <c r="BC129" s="408"/>
      <c r="BD129" s="409"/>
      <c r="BE129" s="409"/>
      <c r="BF129" s="409"/>
      <c r="BG129" s="409"/>
      <c r="BH129" s="409"/>
      <c r="BI129" s="409"/>
      <c r="BJ129" s="409"/>
      <c r="BK129" s="409"/>
      <c r="BL129" s="409"/>
      <c r="BM129" s="409"/>
      <c r="BN129" s="409"/>
      <c r="BO129" s="409"/>
      <c r="BP129" s="409"/>
      <c r="BQ129" s="409"/>
      <c r="BR129" s="409"/>
      <c r="BS129" s="409"/>
      <c r="BT129" s="409"/>
      <c r="BU129" s="409"/>
      <c r="BV129" s="409"/>
      <c r="BW129" s="409"/>
      <c r="BX129" s="409"/>
      <c r="BY129" s="409"/>
      <c r="BZ129" s="409"/>
      <c r="CA129" s="409"/>
      <c r="CB129" s="409"/>
      <c r="CC129" s="409"/>
      <c r="CD129" s="409"/>
      <c r="CE129" s="409"/>
      <c r="CF129" s="409"/>
      <c r="CG129" s="409"/>
      <c r="CH129" s="409"/>
      <c r="CI129" s="409"/>
      <c r="CJ129" s="409"/>
      <c r="CK129" s="409"/>
      <c r="CL129" s="409"/>
      <c r="CM129" s="409"/>
      <c r="CN129" s="409"/>
      <c r="CO129" s="409"/>
      <c r="CP129" s="409"/>
      <c r="CQ129" s="409"/>
      <c r="CR129" s="409"/>
      <c r="CS129" s="409"/>
      <c r="CT129" s="409"/>
      <c r="CU129" s="409"/>
      <c r="CV129" s="409"/>
      <c r="CW129" s="409"/>
      <c r="CX129" s="409"/>
      <c r="CY129" s="409"/>
      <c r="CZ129" s="409"/>
      <c r="DA129" s="409"/>
    </row>
    <row r="130" spans="1:105" s="84" customFormat="1" ht="15" customHeight="1">
      <c r="A130" s="407"/>
      <c r="B130" s="407"/>
      <c r="C130" s="407"/>
      <c r="D130" s="407"/>
      <c r="E130" s="407"/>
      <c r="F130" s="407"/>
      <c r="G130" s="407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8"/>
      <c r="AB130" s="408"/>
      <c r="AC130" s="408"/>
      <c r="AD130" s="408"/>
      <c r="AE130" s="408"/>
      <c r="AF130" s="408"/>
      <c r="AG130" s="408"/>
      <c r="AH130" s="408"/>
      <c r="AI130" s="408"/>
      <c r="AJ130" s="408"/>
      <c r="AK130" s="408"/>
      <c r="AL130" s="408"/>
      <c r="AM130" s="408"/>
      <c r="AN130" s="408"/>
      <c r="AO130" s="408"/>
      <c r="AP130" s="408"/>
      <c r="AQ130" s="408"/>
      <c r="AR130" s="408"/>
      <c r="AS130" s="408"/>
      <c r="AT130" s="408"/>
      <c r="AU130" s="408"/>
      <c r="AV130" s="408"/>
      <c r="AW130" s="408"/>
      <c r="AX130" s="408"/>
      <c r="AY130" s="408"/>
      <c r="AZ130" s="408"/>
      <c r="BA130" s="408"/>
      <c r="BB130" s="408"/>
      <c r="BC130" s="408"/>
      <c r="BD130" s="409"/>
      <c r="BE130" s="409"/>
      <c r="BF130" s="409"/>
      <c r="BG130" s="409"/>
      <c r="BH130" s="409"/>
      <c r="BI130" s="409"/>
      <c r="BJ130" s="409"/>
      <c r="BK130" s="409"/>
      <c r="BL130" s="409"/>
      <c r="BM130" s="409"/>
      <c r="BN130" s="409"/>
      <c r="BO130" s="409"/>
      <c r="BP130" s="409"/>
      <c r="BQ130" s="409"/>
      <c r="BR130" s="409"/>
      <c r="BS130" s="409"/>
      <c r="BT130" s="409"/>
      <c r="BU130" s="409"/>
      <c r="BV130" s="409"/>
      <c r="BW130" s="409"/>
      <c r="BX130" s="409"/>
      <c r="BY130" s="409"/>
      <c r="BZ130" s="409"/>
      <c r="CA130" s="409"/>
      <c r="CB130" s="409"/>
      <c r="CC130" s="409"/>
      <c r="CD130" s="409"/>
      <c r="CE130" s="409"/>
      <c r="CF130" s="409"/>
      <c r="CG130" s="409"/>
      <c r="CH130" s="409"/>
      <c r="CI130" s="409"/>
      <c r="CJ130" s="409"/>
      <c r="CK130" s="409"/>
      <c r="CL130" s="409"/>
      <c r="CM130" s="409"/>
      <c r="CN130" s="409"/>
      <c r="CO130" s="409"/>
      <c r="CP130" s="409"/>
      <c r="CQ130" s="409"/>
      <c r="CR130" s="409"/>
      <c r="CS130" s="409"/>
      <c r="CT130" s="409"/>
      <c r="CU130" s="409"/>
      <c r="CV130" s="409"/>
      <c r="CW130" s="409"/>
      <c r="CX130" s="409"/>
      <c r="CY130" s="409"/>
      <c r="CZ130" s="409"/>
      <c r="DA130" s="409"/>
    </row>
    <row r="131" spans="1:105" s="84" customFormat="1" ht="15" customHeight="1">
      <c r="A131" s="407"/>
      <c r="B131" s="407"/>
      <c r="C131" s="407"/>
      <c r="D131" s="407"/>
      <c r="E131" s="407"/>
      <c r="F131" s="407"/>
      <c r="G131" s="407"/>
      <c r="H131" s="437" t="s">
        <v>233</v>
      </c>
      <c r="I131" s="437"/>
      <c r="J131" s="437"/>
      <c r="K131" s="437"/>
      <c r="L131" s="437"/>
      <c r="M131" s="437"/>
      <c r="N131" s="437"/>
      <c r="O131" s="437"/>
      <c r="P131" s="437"/>
      <c r="Q131" s="437"/>
      <c r="R131" s="437"/>
      <c r="S131" s="437"/>
      <c r="T131" s="437"/>
      <c r="U131" s="437"/>
      <c r="V131" s="437"/>
      <c r="W131" s="437"/>
      <c r="X131" s="437"/>
      <c r="Y131" s="437"/>
      <c r="Z131" s="437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/>
      <c r="AV131" s="437"/>
      <c r="AW131" s="437"/>
      <c r="AX131" s="437"/>
      <c r="AY131" s="437"/>
      <c r="AZ131" s="437"/>
      <c r="BA131" s="437"/>
      <c r="BB131" s="437"/>
      <c r="BC131" s="438"/>
      <c r="BD131" s="409" t="s">
        <v>234</v>
      </c>
      <c r="BE131" s="409"/>
      <c r="BF131" s="409"/>
      <c r="BG131" s="409"/>
      <c r="BH131" s="409"/>
      <c r="BI131" s="409"/>
      <c r="BJ131" s="409"/>
      <c r="BK131" s="409"/>
      <c r="BL131" s="409"/>
      <c r="BM131" s="409"/>
      <c r="BN131" s="409"/>
      <c r="BO131" s="409"/>
      <c r="BP131" s="409"/>
      <c r="BQ131" s="409"/>
      <c r="BR131" s="409"/>
      <c r="BS131" s="409"/>
      <c r="BT131" s="409" t="s">
        <v>234</v>
      </c>
      <c r="BU131" s="409"/>
      <c r="BV131" s="409"/>
      <c r="BW131" s="409"/>
      <c r="BX131" s="409"/>
      <c r="BY131" s="409"/>
      <c r="BZ131" s="409"/>
      <c r="CA131" s="409"/>
      <c r="CB131" s="409"/>
      <c r="CC131" s="409"/>
      <c r="CD131" s="409"/>
      <c r="CE131" s="409"/>
      <c r="CF131" s="409"/>
      <c r="CG131" s="409"/>
      <c r="CH131" s="409"/>
      <c r="CI131" s="409"/>
      <c r="CJ131" s="409"/>
      <c r="CK131" s="409"/>
      <c r="CL131" s="409"/>
      <c r="CM131" s="409"/>
      <c r="CN131" s="409"/>
      <c r="CO131" s="409"/>
      <c r="CP131" s="409"/>
      <c r="CQ131" s="409"/>
      <c r="CR131" s="409"/>
      <c r="CS131" s="409"/>
      <c r="CT131" s="409"/>
      <c r="CU131" s="409"/>
      <c r="CV131" s="409"/>
      <c r="CW131" s="409"/>
      <c r="CX131" s="409"/>
      <c r="CY131" s="409"/>
      <c r="CZ131" s="409"/>
      <c r="DA131" s="409"/>
    </row>
    <row r="133" spans="1:105" s="80" customFormat="1" ht="14.25">
      <c r="A133" s="199" t="s">
        <v>302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</row>
    <row r="134" ht="10.5" customHeight="1"/>
    <row r="135" spans="1:105" ht="30" customHeight="1">
      <c r="A135" s="419" t="s">
        <v>192</v>
      </c>
      <c r="B135" s="420"/>
      <c r="C135" s="420"/>
      <c r="D135" s="420"/>
      <c r="E135" s="420"/>
      <c r="F135" s="420"/>
      <c r="G135" s="421"/>
      <c r="H135" s="419" t="s">
        <v>273</v>
      </c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420"/>
      <c r="V135" s="420"/>
      <c r="W135" s="420"/>
      <c r="X135" s="420"/>
      <c r="Y135" s="420"/>
      <c r="Z135" s="420"/>
      <c r="AA135" s="420"/>
      <c r="AB135" s="420"/>
      <c r="AC135" s="420"/>
      <c r="AD135" s="420"/>
      <c r="AE135" s="420"/>
      <c r="AF135" s="420"/>
      <c r="AG135" s="420"/>
      <c r="AH135" s="420"/>
      <c r="AI135" s="420"/>
      <c r="AJ135" s="420"/>
      <c r="AK135" s="420"/>
      <c r="AL135" s="420"/>
      <c r="AM135" s="420"/>
      <c r="AN135" s="420"/>
      <c r="AO135" s="420"/>
      <c r="AP135" s="420"/>
      <c r="AQ135" s="420"/>
      <c r="AR135" s="420"/>
      <c r="AS135" s="420"/>
      <c r="AT135" s="420"/>
      <c r="AU135" s="420"/>
      <c r="AV135" s="420"/>
      <c r="AW135" s="420"/>
      <c r="AX135" s="420"/>
      <c r="AY135" s="420"/>
      <c r="AZ135" s="420"/>
      <c r="BA135" s="420"/>
      <c r="BB135" s="420"/>
      <c r="BC135" s="420"/>
      <c r="BD135" s="420"/>
      <c r="BE135" s="420"/>
      <c r="BF135" s="420"/>
      <c r="BG135" s="420"/>
      <c r="BH135" s="420"/>
      <c r="BI135" s="420"/>
      <c r="BJ135" s="420"/>
      <c r="BK135" s="420"/>
      <c r="BL135" s="420"/>
      <c r="BM135" s="420"/>
      <c r="BN135" s="420"/>
      <c r="BO135" s="420"/>
      <c r="BP135" s="420"/>
      <c r="BQ135" s="420"/>
      <c r="BR135" s="420"/>
      <c r="BS135" s="421"/>
      <c r="BT135" s="419" t="s">
        <v>303</v>
      </c>
      <c r="BU135" s="420"/>
      <c r="BV135" s="420"/>
      <c r="BW135" s="420"/>
      <c r="BX135" s="420"/>
      <c r="BY135" s="420"/>
      <c r="BZ135" s="420"/>
      <c r="CA135" s="420"/>
      <c r="CB135" s="420"/>
      <c r="CC135" s="420"/>
      <c r="CD135" s="420"/>
      <c r="CE135" s="420"/>
      <c r="CF135" s="420"/>
      <c r="CG135" s="420"/>
      <c r="CH135" s="420"/>
      <c r="CI135" s="421"/>
      <c r="CJ135" s="419" t="s">
        <v>304</v>
      </c>
      <c r="CK135" s="420"/>
      <c r="CL135" s="420"/>
      <c r="CM135" s="420"/>
      <c r="CN135" s="420"/>
      <c r="CO135" s="420"/>
      <c r="CP135" s="420"/>
      <c r="CQ135" s="420"/>
      <c r="CR135" s="420"/>
      <c r="CS135" s="420"/>
      <c r="CT135" s="420"/>
      <c r="CU135" s="420"/>
      <c r="CV135" s="420"/>
      <c r="CW135" s="420"/>
      <c r="CX135" s="420"/>
      <c r="CY135" s="420"/>
      <c r="CZ135" s="420"/>
      <c r="DA135" s="421"/>
    </row>
    <row r="136" spans="1:105" s="86" customFormat="1" ht="12.75">
      <c r="A136" s="416">
        <v>1</v>
      </c>
      <c r="B136" s="416"/>
      <c r="C136" s="416"/>
      <c r="D136" s="416"/>
      <c r="E136" s="416"/>
      <c r="F136" s="416"/>
      <c r="G136" s="416"/>
      <c r="H136" s="416">
        <v>2</v>
      </c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  <c r="AA136" s="416"/>
      <c r="AB136" s="416"/>
      <c r="AC136" s="416"/>
      <c r="AD136" s="416"/>
      <c r="AE136" s="416"/>
      <c r="AF136" s="416"/>
      <c r="AG136" s="416"/>
      <c r="AH136" s="416"/>
      <c r="AI136" s="416"/>
      <c r="AJ136" s="416"/>
      <c r="AK136" s="416"/>
      <c r="AL136" s="416"/>
      <c r="AM136" s="416"/>
      <c r="AN136" s="416"/>
      <c r="AO136" s="416"/>
      <c r="AP136" s="416"/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416"/>
      <c r="BG136" s="416"/>
      <c r="BH136" s="416"/>
      <c r="BI136" s="416"/>
      <c r="BJ136" s="416"/>
      <c r="BK136" s="416"/>
      <c r="BL136" s="416"/>
      <c r="BM136" s="416"/>
      <c r="BN136" s="416"/>
      <c r="BO136" s="416"/>
      <c r="BP136" s="416"/>
      <c r="BQ136" s="416"/>
      <c r="BR136" s="416"/>
      <c r="BS136" s="416"/>
      <c r="BT136" s="416">
        <v>3</v>
      </c>
      <c r="BU136" s="416"/>
      <c r="BV136" s="416"/>
      <c r="BW136" s="416"/>
      <c r="BX136" s="416"/>
      <c r="BY136" s="416"/>
      <c r="BZ136" s="416"/>
      <c r="CA136" s="416"/>
      <c r="CB136" s="416"/>
      <c r="CC136" s="416"/>
      <c r="CD136" s="416"/>
      <c r="CE136" s="416"/>
      <c r="CF136" s="416"/>
      <c r="CG136" s="416"/>
      <c r="CH136" s="416"/>
      <c r="CI136" s="416"/>
      <c r="CJ136" s="416">
        <v>4</v>
      </c>
      <c r="CK136" s="416"/>
      <c r="CL136" s="416"/>
      <c r="CM136" s="416"/>
      <c r="CN136" s="416"/>
      <c r="CO136" s="416"/>
      <c r="CP136" s="416"/>
      <c r="CQ136" s="416"/>
      <c r="CR136" s="416"/>
      <c r="CS136" s="416"/>
      <c r="CT136" s="416"/>
      <c r="CU136" s="416"/>
      <c r="CV136" s="416"/>
      <c r="CW136" s="416"/>
      <c r="CX136" s="416"/>
      <c r="CY136" s="416"/>
      <c r="CZ136" s="416"/>
      <c r="DA136" s="416"/>
    </row>
    <row r="137" spans="1:105" ht="15" customHeight="1">
      <c r="A137" s="407"/>
      <c r="B137" s="407"/>
      <c r="C137" s="407"/>
      <c r="D137" s="407"/>
      <c r="E137" s="407"/>
      <c r="F137" s="407"/>
      <c r="G137" s="407"/>
      <c r="H137" s="434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  <c r="AW137" s="435"/>
      <c r="AX137" s="435"/>
      <c r="AY137" s="435"/>
      <c r="AZ137" s="435"/>
      <c r="BA137" s="435"/>
      <c r="BB137" s="435"/>
      <c r="BC137" s="435"/>
      <c r="BD137" s="435"/>
      <c r="BE137" s="435"/>
      <c r="BF137" s="435"/>
      <c r="BG137" s="435"/>
      <c r="BH137" s="435"/>
      <c r="BI137" s="435"/>
      <c r="BJ137" s="435"/>
      <c r="BK137" s="435"/>
      <c r="BL137" s="435"/>
      <c r="BM137" s="435"/>
      <c r="BN137" s="435"/>
      <c r="BO137" s="435"/>
      <c r="BP137" s="435"/>
      <c r="BQ137" s="435"/>
      <c r="BR137" s="435"/>
      <c r="BS137" s="436"/>
      <c r="BT137" s="409"/>
      <c r="BU137" s="409"/>
      <c r="BV137" s="409"/>
      <c r="BW137" s="409"/>
      <c r="BX137" s="409"/>
      <c r="BY137" s="409"/>
      <c r="BZ137" s="409"/>
      <c r="CA137" s="409"/>
      <c r="CB137" s="409"/>
      <c r="CC137" s="409"/>
      <c r="CD137" s="409"/>
      <c r="CE137" s="409"/>
      <c r="CF137" s="409"/>
      <c r="CG137" s="409"/>
      <c r="CH137" s="409"/>
      <c r="CI137" s="409"/>
      <c r="CJ137" s="409"/>
      <c r="CK137" s="409"/>
      <c r="CL137" s="409"/>
      <c r="CM137" s="409"/>
      <c r="CN137" s="409"/>
      <c r="CO137" s="409"/>
      <c r="CP137" s="409"/>
      <c r="CQ137" s="409"/>
      <c r="CR137" s="409"/>
      <c r="CS137" s="409"/>
      <c r="CT137" s="409"/>
      <c r="CU137" s="409"/>
      <c r="CV137" s="409"/>
      <c r="CW137" s="409"/>
      <c r="CX137" s="409"/>
      <c r="CY137" s="409"/>
      <c r="CZ137" s="409"/>
      <c r="DA137" s="409"/>
    </row>
    <row r="138" spans="1:105" ht="15" customHeight="1">
      <c r="A138" s="407"/>
      <c r="B138" s="407"/>
      <c r="C138" s="407"/>
      <c r="D138" s="407"/>
      <c r="E138" s="407"/>
      <c r="F138" s="407"/>
      <c r="G138" s="407"/>
      <c r="H138" s="434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  <c r="AW138" s="435"/>
      <c r="AX138" s="435"/>
      <c r="AY138" s="435"/>
      <c r="AZ138" s="435"/>
      <c r="BA138" s="435"/>
      <c r="BB138" s="435"/>
      <c r="BC138" s="435"/>
      <c r="BD138" s="435"/>
      <c r="BE138" s="435"/>
      <c r="BF138" s="435"/>
      <c r="BG138" s="435"/>
      <c r="BH138" s="435"/>
      <c r="BI138" s="435"/>
      <c r="BJ138" s="435"/>
      <c r="BK138" s="435"/>
      <c r="BL138" s="435"/>
      <c r="BM138" s="435"/>
      <c r="BN138" s="435"/>
      <c r="BO138" s="435"/>
      <c r="BP138" s="435"/>
      <c r="BQ138" s="435"/>
      <c r="BR138" s="435"/>
      <c r="BS138" s="436"/>
      <c r="BT138" s="409"/>
      <c r="BU138" s="409"/>
      <c r="BV138" s="409"/>
      <c r="BW138" s="409"/>
      <c r="BX138" s="409"/>
      <c r="BY138" s="409"/>
      <c r="BZ138" s="409"/>
      <c r="CA138" s="409"/>
      <c r="CB138" s="409"/>
      <c r="CC138" s="409"/>
      <c r="CD138" s="409"/>
      <c r="CE138" s="409"/>
      <c r="CF138" s="409"/>
      <c r="CG138" s="409"/>
      <c r="CH138" s="409"/>
      <c r="CI138" s="409"/>
      <c r="CJ138" s="409"/>
      <c r="CK138" s="409"/>
      <c r="CL138" s="409"/>
      <c r="CM138" s="409"/>
      <c r="CN138" s="409"/>
      <c r="CO138" s="409"/>
      <c r="CP138" s="409"/>
      <c r="CQ138" s="409"/>
      <c r="CR138" s="409"/>
      <c r="CS138" s="409"/>
      <c r="CT138" s="409"/>
      <c r="CU138" s="409"/>
      <c r="CV138" s="409"/>
      <c r="CW138" s="409"/>
      <c r="CX138" s="409"/>
      <c r="CY138" s="409"/>
      <c r="CZ138" s="409"/>
      <c r="DA138" s="409"/>
    </row>
    <row r="139" spans="1:105" ht="15" customHeight="1">
      <c r="A139" s="407"/>
      <c r="B139" s="407"/>
      <c r="C139" s="407"/>
      <c r="D139" s="407"/>
      <c r="E139" s="407"/>
      <c r="F139" s="407"/>
      <c r="G139" s="407"/>
      <c r="H139" s="440" t="s">
        <v>233</v>
      </c>
      <c r="I139" s="441"/>
      <c r="J139" s="441"/>
      <c r="K139" s="441"/>
      <c r="L139" s="441"/>
      <c r="M139" s="441"/>
      <c r="N139" s="441"/>
      <c r="O139" s="441"/>
      <c r="P139" s="441"/>
      <c r="Q139" s="441"/>
      <c r="R139" s="441"/>
      <c r="S139" s="441"/>
      <c r="T139" s="441"/>
      <c r="U139" s="441"/>
      <c r="V139" s="441"/>
      <c r="W139" s="441"/>
      <c r="X139" s="441"/>
      <c r="Y139" s="441"/>
      <c r="Z139" s="441"/>
      <c r="AA139" s="441"/>
      <c r="AB139" s="441"/>
      <c r="AC139" s="441"/>
      <c r="AD139" s="441"/>
      <c r="AE139" s="441"/>
      <c r="AF139" s="441"/>
      <c r="AG139" s="441"/>
      <c r="AH139" s="441"/>
      <c r="AI139" s="441"/>
      <c r="AJ139" s="441"/>
      <c r="AK139" s="441"/>
      <c r="AL139" s="441"/>
      <c r="AM139" s="441"/>
      <c r="AN139" s="441"/>
      <c r="AO139" s="441"/>
      <c r="AP139" s="441"/>
      <c r="AQ139" s="441"/>
      <c r="AR139" s="441"/>
      <c r="AS139" s="441"/>
      <c r="AT139" s="441"/>
      <c r="AU139" s="441"/>
      <c r="AV139" s="441"/>
      <c r="AW139" s="441"/>
      <c r="AX139" s="441"/>
      <c r="AY139" s="441"/>
      <c r="AZ139" s="441"/>
      <c r="BA139" s="441"/>
      <c r="BB139" s="441"/>
      <c r="BC139" s="441"/>
      <c r="BD139" s="441"/>
      <c r="BE139" s="441"/>
      <c r="BF139" s="441"/>
      <c r="BG139" s="441"/>
      <c r="BH139" s="441"/>
      <c r="BI139" s="441"/>
      <c r="BJ139" s="441"/>
      <c r="BK139" s="441"/>
      <c r="BL139" s="441"/>
      <c r="BM139" s="441"/>
      <c r="BN139" s="441"/>
      <c r="BO139" s="441"/>
      <c r="BP139" s="441"/>
      <c r="BQ139" s="441"/>
      <c r="BR139" s="441"/>
      <c r="BS139" s="442"/>
      <c r="BT139" s="409" t="s">
        <v>234</v>
      </c>
      <c r="BU139" s="409"/>
      <c r="BV139" s="409"/>
      <c r="BW139" s="409"/>
      <c r="BX139" s="409"/>
      <c r="BY139" s="409"/>
      <c r="BZ139" s="409"/>
      <c r="CA139" s="409"/>
      <c r="CB139" s="409"/>
      <c r="CC139" s="409"/>
      <c r="CD139" s="409"/>
      <c r="CE139" s="409"/>
      <c r="CF139" s="409"/>
      <c r="CG139" s="409"/>
      <c r="CH139" s="409"/>
      <c r="CI139" s="409"/>
      <c r="CJ139" s="409"/>
      <c r="CK139" s="409"/>
      <c r="CL139" s="409"/>
      <c r="CM139" s="409"/>
      <c r="CN139" s="409"/>
      <c r="CO139" s="409"/>
      <c r="CP139" s="409"/>
      <c r="CQ139" s="409"/>
      <c r="CR139" s="409"/>
      <c r="CS139" s="409"/>
      <c r="CT139" s="409"/>
      <c r="CU139" s="409"/>
      <c r="CV139" s="409"/>
      <c r="CW139" s="409"/>
      <c r="CX139" s="409"/>
      <c r="CY139" s="409"/>
      <c r="CZ139" s="409"/>
      <c r="DA139" s="409"/>
    </row>
    <row r="141" spans="1:105" s="80" customFormat="1" ht="28.5" customHeight="1">
      <c r="A141" s="439" t="s">
        <v>305</v>
      </c>
      <c r="B141" s="439"/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  <c r="AA141" s="439"/>
      <c r="AB141" s="439"/>
      <c r="AC141" s="439"/>
      <c r="AD141" s="439"/>
      <c r="AE141" s="439"/>
      <c r="AF141" s="439"/>
      <c r="AG141" s="439"/>
      <c r="AH141" s="439"/>
      <c r="AI141" s="439"/>
      <c r="AJ141" s="439"/>
      <c r="AK141" s="439"/>
      <c r="AL141" s="439"/>
      <c r="AM141" s="439"/>
      <c r="AN141" s="439"/>
      <c r="AO141" s="439"/>
      <c r="AP141" s="439"/>
      <c r="AQ141" s="439"/>
      <c r="AR141" s="439"/>
      <c r="AS141" s="439"/>
      <c r="AT141" s="439"/>
      <c r="AU141" s="439"/>
      <c r="AV141" s="439"/>
      <c r="AW141" s="439"/>
      <c r="AX141" s="439"/>
      <c r="AY141" s="439"/>
      <c r="AZ141" s="439"/>
      <c r="BA141" s="439"/>
      <c r="BB141" s="439"/>
      <c r="BC141" s="439"/>
      <c r="BD141" s="439"/>
      <c r="BE141" s="439"/>
      <c r="BF141" s="439"/>
      <c r="BG141" s="439"/>
      <c r="BH141" s="439"/>
      <c r="BI141" s="439"/>
      <c r="BJ141" s="439"/>
      <c r="BK141" s="439"/>
      <c r="BL141" s="439"/>
      <c r="BM141" s="439"/>
      <c r="BN141" s="439"/>
      <c r="BO141" s="439"/>
      <c r="BP141" s="439"/>
      <c r="BQ141" s="439"/>
      <c r="BR141" s="439"/>
      <c r="BS141" s="439"/>
      <c r="BT141" s="439"/>
      <c r="BU141" s="439"/>
      <c r="BV141" s="439"/>
      <c r="BW141" s="439"/>
      <c r="BX141" s="439"/>
      <c r="BY141" s="439"/>
      <c r="BZ141" s="439"/>
      <c r="CA141" s="439"/>
      <c r="CB141" s="439"/>
      <c r="CC141" s="439"/>
      <c r="CD141" s="439"/>
      <c r="CE141" s="439"/>
      <c r="CF141" s="439"/>
      <c r="CG141" s="439"/>
      <c r="CH141" s="439"/>
      <c r="CI141" s="439"/>
      <c r="CJ141" s="439"/>
      <c r="CK141" s="439"/>
      <c r="CL141" s="439"/>
      <c r="CM141" s="439"/>
      <c r="CN141" s="439"/>
      <c r="CO141" s="439"/>
      <c r="CP141" s="439"/>
      <c r="CQ141" s="439"/>
      <c r="CR141" s="439"/>
      <c r="CS141" s="439"/>
      <c r="CT141" s="439"/>
      <c r="CU141" s="439"/>
      <c r="CV141" s="439"/>
      <c r="CW141" s="439"/>
      <c r="CX141" s="439"/>
      <c r="CY141" s="439"/>
      <c r="CZ141" s="439"/>
      <c r="DA141" s="439"/>
    </row>
    <row r="142" ht="10.5" customHeight="1"/>
    <row r="143" spans="1:105" s="82" customFormat="1" ht="30" customHeight="1">
      <c r="A143" s="419" t="s">
        <v>192</v>
      </c>
      <c r="B143" s="420"/>
      <c r="C143" s="420"/>
      <c r="D143" s="420"/>
      <c r="E143" s="420"/>
      <c r="F143" s="420"/>
      <c r="G143" s="421"/>
      <c r="H143" s="419" t="s">
        <v>273</v>
      </c>
      <c r="I143" s="420"/>
      <c r="J143" s="420"/>
      <c r="K143" s="420"/>
      <c r="L143" s="420"/>
      <c r="M143" s="420"/>
      <c r="N143" s="420"/>
      <c r="O143" s="420"/>
      <c r="P143" s="420"/>
      <c r="Q143" s="420"/>
      <c r="R143" s="420"/>
      <c r="S143" s="420"/>
      <c r="T143" s="420"/>
      <c r="U143" s="420"/>
      <c r="V143" s="420"/>
      <c r="W143" s="420"/>
      <c r="X143" s="420"/>
      <c r="Y143" s="420"/>
      <c r="Z143" s="420"/>
      <c r="AA143" s="420"/>
      <c r="AB143" s="420"/>
      <c r="AC143" s="420"/>
      <c r="AD143" s="420"/>
      <c r="AE143" s="420"/>
      <c r="AF143" s="420"/>
      <c r="AG143" s="420"/>
      <c r="AH143" s="420"/>
      <c r="AI143" s="420"/>
      <c r="AJ143" s="420"/>
      <c r="AK143" s="420"/>
      <c r="AL143" s="420"/>
      <c r="AM143" s="420"/>
      <c r="AN143" s="420"/>
      <c r="AO143" s="420"/>
      <c r="AP143" s="420"/>
      <c r="AQ143" s="420"/>
      <c r="AR143" s="420"/>
      <c r="AS143" s="420"/>
      <c r="AT143" s="420"/>
      <c r="AU143" s="420"/>
      <c r="AV143" s="420"/>
      <c r="AW143" s="420"/>
      <c r="AX143" s="420"/>
      <c r="AY143" s="420"/>
      <c r="AZ143" s="420"/>
      <c r="BA143" s="420"/>
      <c r="BB143" s="420"/>
      <c r="BC143" s="421"/>
      <c r="BD143" s="419" t="s">
        <v>295</v>
      </c>
      <c r="BE143" s="420"/>
      <c r="BF143" s="420"/>
      <c r="BG143" s="420"/>
      <c r="BH143" s="420"/>
      <c r="BI143" s="420"/>
      <c r="BJ143" s="420"/>
      <c r="BK143" s="420"/>
      <c r="BL143" s="420"/>
      <c r="BM143" s="420"/>
      <c r="BN143" s="420"/>
      <c r="BO143" s="420"/>
      <c r="BP143" s="420"/>
      <c r="BQ143" s="420"/>
      <c r="BR143" s="420"/>
      <c r="BS143" s="421"/>
      <c r="BT143" s="419" t="s">
        <v>306</v>
      </c>
      <c r="BU143" s="420"/>
      <c r="BV143" s="420"/>
      <c r="BW143" s="420"/>
      <c r="BX143" s="420"/>
      <c r="BY143" s="420"/>
      <c r="BZ143" s="420"/>
      <c r="CA143" s="420"/>
      <c r="CB143" s="420"/>
      <c r="CC143" s="420"/>
      <c r="CD143" s="420"/>
      <c r="CE143" s="420"/>
      <c r="CF143" s="420"/>
      <c r="CG143" s="420"/>
      <c r="CH143" s="420"/>
      <c r="CI143" s="421"/>
      <c r="CJ143" s="419" t="s">
        <v>307</v>
      </c>
      <c r="CK143" s="420"/>
      <c r="CL143" s="420"/>
      <c r="CM143" s="420"/>
      <c r="CN143" s="420"/>
      <c r="CO143" s="420"/>
      <c r="CP143" s="420"/>
      <c r="CQ143" s="420"/>
      <c r="CR143" s="420"/>
      <c r="CS143" s="420"/>
      <c r="CT143" s="420"/>
      <c r="CU143" s="420"/>
      <c r="CV143" s="420"/>
      <c r="CW143" s="420"/>
      <c r="CX143" s="420"/>
      <c r="CY143" s="420"/>
      <c r="CZ143" s="420"/>
      <c r="DA143" s="421"/>
    </row>
    <row r="144" spans="1:105" s="83" customFormat="1" ht="12.75">
      <c r="A144" s="416"/>
      <c r="B144" s="416"/>
      <c r="C144" s="416"/>
      <c r="D144" s="416"/>
      <c r="E144" s="416"/>
      <c r="F144" s="416"/>
      <c r="G144" s="416"/>
      <c r="H144" s="416">
        <v>1</v>
      </c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6"/>
      <c r="Y144" s="416"/>
      <c r="Z144" s="416"/>
      <c r="AA144" s="416"/>
      <c r="AB144" s="416"/>
      <c r="AC144" s="416"/>
      <c r="AD144" s="416"/>
      <c r="AE144" s="416"/>
      <c r="AF144" s="416"/>
      <c r="AG144" s="416"/>
      <c r="AH144" s="416"/>
      <c r="AI144" s="416"/>
      <c r="AJ144" s="416"/>
      <c r="AK144" s="416"/>
      <c r="AL144" s="416"/>
      <c r="AM144" s="416"/>
      <c r="AN144" s="416"/>
      <c r="AO144" s="416"/>
      <c r="AP144" s="416"/>
      <c r="AQ144" s="416"/>
      <c r="AR144" s="416"/>
      <c r="AS144" s="416"/>
      <c r="AT144" s="416"/>
      <c r="AU144" s="416"/>
      <c r="AV144" s="416"/>
      <c r="AW144" s="416"/>
      <c r="AX144" s="416"/>
      <c r="AY144" s="416"/>
      <c r="AZ144" s="416"/>
      <c r="BA144" s="416"/>
      <c r="BB144" s="416"/>
      <c r="BC144" s="416"/>
      <c r="BD144" s="416">
        <v>2</v>
      </c>
      <c r="BE144" s="416"/>
      <c r="BF144" s="416"/>
      <c r="BG144" s="416"/>
      <c r="BH144" s="416"/>
      <c r="BI144" s="416"/>
      <c r="BJ144" s="416"/>
      <c r="BK144" s="416"/>
      <c r="BL144" s="416"/>
      <c r="BM144" s="416"/>
      <c r="BN144" s="416"/>
      <c r="BO144" s="416"/>
      <c r="BP144" s="416"/>
      <c r="BQ144" s="416"/>
      <c r="BR144" s="416"/>
      <c r="BS144" s="416"/>
      <c r="BT144" s="416">
        <v>3</v>
      </c>
      <c r="BU144" s="416"/>
      <c r="BV144" s="416"/>
      <c r="BW144" s="416"/>
      <c r="BX144" s="416"/>
      <c r="BY144" s="416"/>
      <c r="BZ144" s="416"/>
      <c r="CA144" s="416"/>
      <c r="CB144" s="416"/>
      <c r="CC144" s="416"/>
      <c r="CD144" s="416"/>
      <c r="CE144" s="416"/>
      <c r="CF144" s="416"/>
      <c r="CG144" s="416"/>
      <c r="CH144" s="416"/>
      <c r="CI144" s="416"/>
      <c r="CJ144" s="416">
        <v>4</v>
      </c>
      <c r="CK144" s="416"/>
      <c r="CL144" s="416"/>
      <c r="CM144" s="416"/>
      <c r="CN144" s="416"/>
      <c r="CO144" s="416"/>
      <c r="CP144" s="416"/>
      <c r="CQ144" s="416"/>
      <c r="CR144" s="416"/>
      <c r="CS144" s="416"/>
      <c r="CT144" s="416"/>
      <c r="CU144" s="416"/>
      <c r="CV144" s="416"/>
      <c r="CW144" s="416"/>
      <c r="CX144" s="416"/>
      <c r="CY144" s="416"/>
      <c r="CZ144" s="416"/>
      <c r="DA144" s="416"/>
    </row>
    <row r="145" spans="1:105" s="84" customFormat="1" ht="15" customHeight="1">
      <c r="A145" s="407"/>
      <c r="B145" s="407"/>
      <c r="C145" s="407"/>
      <c r="D145" s="407"/>
      <c r="E145" s="407"/>
      <c r="F145" s="407"/>
      <c r="G145" s="407"/>
      <c r="H145" s="408"/>
      <c r="I145" s="408"/>
      <c r="J145" s="408"/>
      <c r="K145" s="408"/>
      <c r="L145" s="408"/>
      <c r="M145" s="408"/>
      <c r="N145" s="408"/>
      <c r="O145" s="408"/>
      <c r="P145" s="408"/>
      <c r="Q145" s="408"/>
      <c r="R145" s="408"/>
      <c r="S145" s="408"/>
      <c r="T145" s="408"/>
      <c r="U145" s="408"/>
      <c r="V145" s="408"/>
      <c r="W145" s="408"/>
      <c r="X145" s="408"/>
      <c r="Y145" s="408"/>
      <c r="Z145" s="408"/>
      <c r="AA145" s="408"/>
      <c r="AB145" s="408"/>
      <c r="AC145" s="408"/>
      <c r="AD145" s="408"/>
      <c r="AE145" s="408"/>
      <c r="AF145" s="408"/>
      <c r="AG145" s="408"/>
      <c r="AH145" s="408"/>
      <c r="AI145" s="408"/>
      <c r="AJ145" s="408"/>
      <c r="AK145" s="408"/>
      <c r="AL145" s="408"/>
      <c r="AM145" s="408"/>
      <c r="AN145" s="408"/>
      <c r="AO145" s="408"/>
      <c r="AP145" s="408"/>
      <c r="AQ145" s="408"/>
      <c r="AR145" s="408"/>
      <c r="AS145" s="408"/>
      <c r="AT145" s="408"/>
      <c r="AU145" s="408"/>
      <c r="AV145" s="408"/>
      <c r="AW145" s="408"/>
      <c r="AX145" s="408"/>
      <c r="AY145" s="408"/>
      <c r="AZ145" s="408"/>
      <c r="BA145" s="408"/>
      <c r="BB145" s="408"/>
      <c r="BC145" s="408"/>
      <c r="BD145" s="409"/>
      <c r="BE145" s="409"/>
      <c r="BF145" s="409"/>
      <c r="BG145" s="409"/>
      <c r="BH145" s="409"/>
      <c r="BI145" s="409"/>
      <c r="BJ145" s="409"/>
      <c r="BK145" s="409"/>
      <c r="BL145" s="409"/>
      <c r="BM145" s="409"/>
      <c r="BN145" s="409"/>
      <c r="BO145" s="409"/>
      <c r="BP145" s="409"/>
      <c r="BQ145" s="409"/>
      <c r="BR145" s="409"/>
      <c r="BS145" s="409"/>
      <c r="BT145" s="409"/>
      <c r="BU145" s="409"/>
      <c r="BV145" s="409"/>
      <c r="BW145" s="409"/>
      <c r="BX145" s="409"/>
      <c r="BY145" s="409"/>
      <c r="BZ145" s="409"/>
      <c r="CA145" s="409"/>
      <c r="CB145" s="409"/>
      <c r="CC145" s="409"/>
      <c r="CD145" s="409"/>
      <c r="CE145" s="409"/>
      <c r="CF145" s="409"/>
      <c r="CG145" s="409"/>
      <c r="CH145" s="409"/>
      <c r="CI145" s="409"/>
      <c r="CJ145" s="409"/>
      <c r="CK145" s="409"/>
      <c r="CL145" s="409"/>
      <c r="CM145" s="409"/>
      <c r="CN145" s="409"/>
      <c r="CO145" s="409"/>
      <c r="CP145" s="409"/>
      <c r="CQ145" s="409"/>
      <c r="CR145" s="409"/>
      <c r="CS145" s="409"/>
      <c r="CT145" s="409"/>
      <c r="CU145" s="409"/>
      <c r="CV145" s="409"/>
      <c r="CW145" s="409"/>
      <c r="CX145" s="409"/>
      <c r="CY145" s="409"/>
      <c r="CZ145" s="409"/>
      <c r="DA145" s="409"/>
    </row>
    <row r="146" spans="1:105" s="84" customFormat="1" ht="15" customHeight="1">
      <c r="A146" s="407"/>
      <c r="B146" s="407"/>
      <c r="C146" s="407"/>
      <c r="D146" s="407"/>
      <c r="E146" s="407"/>
      <c r="F146" s="407"/>
      <c r="G146" s="407"/>
      <c r="H146" s="408"/>
      <c r="I146" s="408"/>
      <c r="J146" s="408"/>
      <c r="K146" s="408"/>
      <c r="L146" s="408"/>
      <c r="M146" s="408"/>
      <c r="N146" s="408"/>
      <c r="O146" s="408"/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  <c r="Z146" s="408"/>
      <c r="AA146" s="408"/>
      <c r="AB146" s="408"/>
      <c r="AC146" s="408"/>
      <c r="AD146" s="408"/>
      <c r="AE146" s="408"/>
      <c r="AF146" s="408"/>
      <c r="AG146" s="408"/>
      <c r="AH146" s="408"/>
      <c r="AI146" s="408"/>
      <c r="AJ146" s="408"/>
      <c r="AK146" s="408"/>
      <c r="AL146" s="408"/>
      <c r="AM146" s="408"/>
      <c r="AN146" s="408"/>
      <c r="AO146" s="408"/>
      <c r="AP146" s="408"/>
      <c r="AQ146" s="408"/>
      <c r="AR146" s="408"/>
      <c r="AS146" s="408"/>
      <c r="AT146" s="408"/>
      <c r="AU146" s="408"/>
      <c r="AV146" s="408"/>
      <c r="AW146" s="408"/>
      <c r="AX146" s="408"/>
      <c r="AY146" s="408"/>
      <c r="AZ146" s="408"/>
      <c r="BA146" s="408"/>
      <c r="BB146" s="408"/>
      <c r="BC146" s="408"/>
      <c r="BD146" s="409"/>
      <c r="BE146" s="409"/>
      <c r="BF146" s="409"/>
      <c r="BG146" s="409"/>
      <c r="BH146" s="409"/>
      <c r="BI146" s="409"/>
      <c r="BJ146" s="409"/>
      <c r="BK146" s="409"/>
      <c r="BL146" s="409"/>
      <c r="BM146" s="409"/>
      <c r="BN146" s="409"/>
      <c r="BO146" s="409"/>
      <c r="BP146" s="409"/>
      <c r="BQ146" s="409"/>
      <c r="BR146" s="409"/>
      <c r="BS146" s="409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409"/>
      <c r="CE146" s="409"/>
      <c r="CF146" s="409"/>
      <c r="CG146" s="409"/>
      <c r="CH146" s="409"/>
      <c r="CI146" s="409"/>
      <c r="CJ146" s="409"/>
      <c r="CK146" s="409"/>
      <c r="CL146" s="409"/>
      <c r="CM146" s="409"/>
      <c r="CN146" s="409"/>
      <c r="CO146" s="409"/>
      <c r="CP146" s="409"/>
      <c r="CQ146" s="409"/>
      <c r="CR146" s="409"/>
      <c r="CS146" s="409"/>
      <c r="CT146" s="409"/>
      <c r="CU146" s="409"/>
      <c r="CV146" s="409"/>
      <c r="CW146" s="409"/>
      <c r="CX146" s="409"/>
      <c r="CY146" s="409"/>
      <c r="CZ146" s="409"/>
      <c r="DA146" s="409"/>
    </row>
    <row r="147" spans="1:105" s="84" customFormat="1" ht="15" customHeight="1">
      <c r="A147" s="407"/>
      <c r="B147" s="407"/>
      <c r="C147" s="407"/>
      <c r="D147" s="407"/>
      <c r="E147" s="407"/>
      <c r="F147" s="407"/>
      <c r="G147" s="407"/>
      <c r="H147" s="437" t="s">
        <v>233</v>
      </c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  <c r="Y147" s="437"/>
      <c r="Z147" s="437"/>
      <c r="AA147" s="437"/>
      <c r="AB147" s="437"/>
      <c r="AC147" s="437"/>
      <c r="AD147" s="437"/>
      <c r="AE147" s="437"/>
      <c r="AF147" s="437"/>
      <c r="AG147" s="437"/>
      <c r="AH147" s="437"/>
      <c r="AI147" s="437"/>
      <c r="AJ147" s="437"/>
      <c r="AK147" s="437"/>
      <c r="AL147" s="437"/>
      <c r="AM147" s="437"/>
      <c r="AN147" s="437"/>
      <c r="AO147" s="437"/>
      <c r="AP147" s="437"/>
      <c r="AQ147" s="437"/>
      <c r="AR147" s="437"/>
      <c r="AS147" s="437"/>
      <c r="AT147" s="437"/>
      <c r="AU147" s="437"/>
      <c r="AV147" s="437"/>
      <c r="AW147" s="437"/>
      <c r="AX147" s="437"/>
      <c r="AY147" s="437"/>
      <c r="AZ147" s="437"/>
      <c r="BA147" s="437"/>
      <c r="BB147" s="437"/>
      <c r="BC147" s="438"/>
      <c r="BD147" s="409"/>
      <c r="BE147" s="409"/>
      <c r="BF147" s="409"/>
      <c r="BG147" s="409"/>
      <c r="BH147" s="409"/>
      <c r="BI147" s="409"/>
      <c r="BJ147" s="409"/>
      <c r="BK147" s="409"/>
      <c r="BL147" s="409"/>
      <c r="BM147" s="409"/>
      <c r="BN147" s="409"/>
      <c r="BO147" s="409"/>
      <c r="BP147" s="409"/>
      <c r="BQ147" s="409"/>
      <c r="BR147" s="409"/>
      <c r="BS147" s="409"/>
      <c r="BT147" s="409" t="s">
        <v>234</v>
      </c>
      <c r="BU147" s="409"/>
      <c r="BV147" s="409"/>
      <c r="BW147" s="409"/>
      <c r="BX147" s="409"/>
      <c r="BY147" s="409"/>
      <c r="BZ147" s="409"/>
      <c r="CA147" s="409"/>
      <c r="CB147" s="409"/>
      <c r="CC147" s="409"/>
      <c r="CD147" s="409"/>
      <c r="CE147" s="409"/>
      <c r="CF147" s="409"/>
      <c r="CG147" s="409"/>
      <c r="CH147" s="409"/>
      <c r="CI147" s="409"/>
      <c r="CJ147" s="409"/>
      <c r="CK147" s="409"/>
      <c r="CL147" s="409"/>
      <c r="CM147" s="409"/>
      <c r="CN147" s="409"/>
      <c r="CO147" s="409"/>
      <c r="CP147" s="409"/>
      <c r="CQ147" s="409"/>
      <c r="CR147" s="409"/>
      <c r="CS147" s="409"/>
      <c r="CT147" s="409"/>
      <c r="CU147" s="409"/>
      <c r="CV147" s="409"/>
      <c r="CW147" s="409"/>
      <c r="CX147" s="409"/>
      <c r="CY147" s="409"/>
      <c r="CZ147" s="409"/>
      <c r="DA147" s="409"/>
    </row>
  </sheetData>
  <sheetProtection/>
  <mergeCells count="429">
    <mergeCell ref="CJ4:DA4"/>
    <mergeCell ref="A5:F5"/>
    <mergeCell ref="G5:AD5"/>
    <mergeCell ref="AE5:BC5"/>
    <mergeCell ref="BD5:BS5"/>
    <mergeCell ref="A2:DA2"/>
    <mergeCell ref="A4:F4"/>
    <mergeCell ref="G4:AD4"/>
    <mergeCell ref="AE4:BC4"/>
    <mergeCell ref="BD4:BS4"/>
    <mergeCell ref="BT4:CI4"/>
    <mergeCell ref="AE7:BC7"/>
    <mergeCell ref="BD7:BS7"/>
    <mergeCell ref="BT5:CI5"/>
    <mergeCell ref="CJ5:DA5"/>
    <mergeCell ref="A6:F6"/>
    <mergeCell ref="G6:AD6"/>
    <mergeCell ref="AE6:BC6"/>
    <mergeCell ref="BD6:BS6"/>
    <mergeCell ref="BT6:CI6"/>
    <mergeCell ref="CJ6:DA6"/>
    <mergeCell ref="BT7:CI7"/>
    <mergeCell ref="CJ7:DA7"/>
    <mergeCell ref="A8:F8"/>
    <mergeCell ref="G8:AD8"/>
    <mergeCell ref="AE8:BC8"/>
    <mergeCell ref="BD8:BS8"/>
    <mergeCell ref="BT8:CI8"/>
    <mergeCell ref="CJ8:DA8"/>
    <mergeCell ref="A7:F7"/>
    <mergeCell ref="G7:AD7"/>
    <mergeCell ref="AE13:AY13"/>
    <mergeCell ref="AZ13:BQ13"/>
    <mergeCell ref="A10:DA10"/>
    <mergeCell ref="A12:F12"/>
    <mergeCell ref="G12:AD12"/>
    <mergeCell ref="AE12:AY12"/>
    <mergeCell ref="AZ12:BQ12"/>
    <mergeCell ref="BR12:CI12"/>
    <mergeCell ref="CJ12:DA12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Z16:BQ16"/>
    <mergeCell ref="BR16:CI16"/>
    <mergeCell ref="CJ16:DA16"/>
    <mergeCell ref="A15:F15"/>
    <mergeCell ref="G15:AD15"/>
    <mergeCell ref="AE15:AY15"/>
    <mergeCell ref="AZ15:BQ15"/>
    <mergeCell ref="A18:DA18"/>
    <mergeCell ref="A20:F20"/>
    <mergeCell ref="G20:BV20"/>
    <mergeCell ref="BW20:CL20"/>
    <mergeCell ref="CM20:DA20"/>
    <mergeCell ref="BR15:CI15"/>
    <mergeCell ref="CJ15:DA15"/>
    <mergeCell ref="A16:F16"/>
    <mergeCell ref="G16:AD16"/>
    <mergeCell ref="AE16:AY16"/>
    <mergeCell ref="A22:F22"/>
    <mergeCell ref="H22:BV22"/>
    <mergeCell ref="BW22:CL22"/>
    <mergeCell ref="CM22:DA22"/>
    <mergeCell ref="A21:F21"/>
    <mergeCell ref="G21:BV21"/>
    <mergeCell ref="BW21:CL21"/>
    <mergeCell ref="CM21:DA21"/>
    <mergeCell ref="A25:F25"/>
    <mergeCell ref="H25:BV25"/>
    <mergeCell ref="BW25:CL25"/>
    <mergeCell ref="CM25:DA25"/>
    <mergeCell ref="A23:F24"/>
    <mergeCell ref="H23:BV23"/>
    <mergeCell ref="BW23:CL24"/>
    <mergeCell ref="CM23:DA24"/>
    <mergeCell ref="H24:BV24"/>
    <mergeCell ref="A27:F27"/>
    <mergeCell ref="H27:BV27"/>
    <mergeCell ref="BW27:CL27"/>
    <mergeCell ref="CM27:DA27"/>
    <mergeCell ref="A26:F26"/>
    <mergeCell ref="H26:BV26"/>
    <mergeCell ref="BW26:CL26"/>
    <mergeCell ref="CM26:DA26"/>
    <mergeCell ref="A30:F30"/>
    <mergeCell ref="H30:BV30"/>
    <mergeCell ref="BW30:CL30"/>
    <mergeCell ref="CM30:DA30"/>
    <mergeCell ref="A28:F29"/>
    <mergeCell ref="H28:BV28"/>
    <mergeCell ref="BW28:CL29"/>
    <mergeCell ref="CM28:DA29"/>
    <mergeCell ref="H29:BV29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34:F34"/>
    <mergeCell ref="H34:BV34"/>
    <mergeCell ref="BW34:CL34"/>
    <mergeCell ref="CM34:DA34"/>
    <mergeCell ref="A33:F33"/>
    <mergeCell ref="H33:BV33"/>
    <mergeCell ref="BW33:CL33"/>
    <mergeCell ref="CM33:DA33"/>
    <mergeCell ref="A37:DA37"/>
    <mergeCell ref="A39:DA39"/>
    <mergeCell ref="X41:DA41"/>
    <mergeCell ref="A43:AO43"/>
    <mergeCell ref="AP43:DA43"/>
    <mergeCell ref="A35:F35"/>
    <mergeCell ref="G35:BV35"/>
    <mergeCell ref="BW35:CL35"/>
    <mergeCell ref="CM35:DA35"/>
    <mergeCell ref="CJ45:DA45"/>
    <mergeCell ref="A46:G46"/>
    <mergeCell ref="H46:BC46"/>
    <mergeCell ref="BD46:BS46"/>
    <mergeCell ref="BT46:CI46"/>
    <mergeCell ref="CJ46:DA46"/>
    <mergeCell ref="A45:G45"/>
    <mergeCell ref="H45:BC45"/>
    <mergeCell ref="BD45:BS45"/>
    <mergeCell ref="BT45:CI45"/>
    <mergeCell ref="CJ47:DA47"/>
    <mergeCell ref="A48:G48"/>
    <mergeCell ref="H48:BC48"/>
    <mergeCell ref="BD48:BS48"/>
    <mergeCell ref="BT48:CI48"/>
    <mergeCell ref="CJ48:DA48"/>
    <mergeCell ref="A47:G47"/>
    <mergeCell ref="H47:BC47"/>
    <mergeCell ref="BD47:BS47"/>
    <mergeCell ref="BT47:CI47"/>
    <mergeCell ref="CJ49:DA49"/>
    <mergeCell ref="A51:DA51"/>
    <mergeCell ref="X53:DA53"/>
    <mergeCell ref="A55:AO55"/>
    <mergeCell ref="AP55:DA55"/>
    <mergeCell ref="A49:G49"/>
    <mergeCell ref="H49:BC49"/>
    <mergeCell ref="BD49:BS49"/>
    <mergeCell ref="BT49:CI49"/>
    <mergeCell ref="CE57:DA57"/>
    <mergeCell ref="A58:G58"/>
    <mergeCell ref="H58:BC58"/>
    <mergeCell ref="BD58:BS58"/>
    <mergeCell ref="BT58:CD58"/>
    <mergeCell ref="CE58:DA58"/>
    <mergeCell ref="A57:G57"/>
    <mergeCell ref="H57:BC57"/>
    <mergeCell ref="BD57:BS57"/>
    <mergeCell ref="BT57:CD57"/>
    <mergeCell ref="CE59:DA59"/>
    <mergeCell ref="A60:G60"/>
    <mergeCell ref="H60:BC60"/>
    <mergeCell ref="BD60:BS60"/>
    <mergeCell ref="BT60:CD60"/>
    <mergeCell ref="CE60:DA60"/>
    <mergeCell ref="A59:G59"/>
    <mergeCell ref="H59:BC59"/>
    <mergeCell ref="BD59:BS59"/>
    <mergeCell ref="BT59:CD59"/>
    <mergeCell ref="CE61:DA61"/>
    <mergeCell ref="A63:DA63"/>
    <mergeCell ref="X65:DA65"/>
    <mergeCell ref="A67:AO67"/>
    <mergeCell ref="AP67:DA67"/>
    <mergeCell ref="A61:G61"/>
    <mergeCell ref="H61:BC61"/>
    <mergeCell ref="BD61:BS61"/>
    <mergeCell ref="BT61:CD61"/>
    <mergeCell ref="CJ69:DA69"/>
    <mergeCell ref="A70:G70"/>
    <mergeCell ref="H70:BC70"/>
    <mergeCell ref="BD70:BS70"/>
    <mergeCell ref="BT70:CI70"/>
    <mergeCell ref="CJ70:DA70"/>
    <mergeCell ref="A69:G69"/>
    <mergeCell ref="H69:BC69"/>
    <mergeCell ref="BD69:BS69"/>
    <mergeCell ref="BT69:CI69"/>
    <mergeCell ref="CJ71:DA71"/>
    <mergeCell ref="A72:G72"/>
    <mergeCell ref="H72:BC72"/>
    <mergeCell ref="BD72:BS72"/>
    <mergeCell ref="BT72:CI72"/>
    <mergeCell ref="CJ72:DA72"/>
    <mergeCell ref="A71:G71"/>
    <mergeCell ref="H71:BC71"/>
    <mergeCell ref="BD71:BS71"/>
    <mergeCell ref="BT71:CI71"/>
    <mergeCell ref="CJ73:DA73"/>
    <mergeCell ref="A75:DA75"/>
    <mergeCell ref="X77:DA77"/>
    <mergeCell ref="A79:AO79"/>
    <mergeCell ref="AP79:DA79"/>
    <mergeCell ref="A73:G73"/>
    <mergeCell ref="H73:BC73"/>
    <mergeCell ref="BD73:BS73"/>
    <mergeCell ref="BT73:CI73"/>
    <mergeCell ref="CJ81:DA81"/>
    <mergeCell ref="A82:G82"/>
    <mergeCell ref="H82:BC82"/>
    <mergeCell ref="BD82:BS82"/>
    <mergeCell ref="BT82:CI82"/>
    <mergeCell ref="CJ82:DA82"/>
    <mergeCell ref="A81:G81"/>
    <mergeCell ref="H81:BC81"/>
    <mergeCell ref="BD81:BS81"/>
    <mergeCell ref="BT81:CI81"/>
    <mergeCell ref="CJ83:DA83"/>
    <mergeCell ref="A84:G84"/>
    <mergeCell ref="H84:BC84"/>
    <mergeCell ref="BD84:BS84"/>
    <mergeCell ref="BT84:CI84"/>
    <mergeCell ref="CJ84:DA84"/>
    <mergeCell ref="A83:G83"/>
    <mergeCell ref="H83:BC83"/>
    <mergeCell ref="BD83:BS83"/>
    <mergeCell ref="BT83:CI83"/>
    <mergeCell ref="CL95:DA95"/>
    <mergeCell ref="CJ85:DA85"/>
    <mergeCell ref="A87:DA87"/>
    <mergeCell ref="X89:DA89"/>
    <mergeCell ref="A91:AO91"/>
    <mergeCell ref="AP91:DA91"/>
    <mergeCell ref="A85:G85"/>
    <mergeCell ref="H85:BC85"/>
    <mergeCell ref="BD85:BS85"/>
    <mergeCell ref="BT85:CI85"/>
    <mergeCell ref="A96:G96"/>
    <mergeCell ref="H96:AO96"/>
    <mergeCell ref="AP96:BE96"/>
    <mergeCell ref="BF96:BU96"/>
    <mergeCell ref="A93:DA93"/>
    <mergeCell ref="A95:G95"/>
    <mergeCell ref="H95:AO95"/>
    <mergeCell ref="AP95:BE95"/>
    <mergeCell ref="BF95:BU95"/>
    <mergeCell ref="BV95:CK95"/>
    <mergeCell ref="AP98:BE98"/>
    <mergeCell ref="BF98:BU98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BT104:CI104"/>
    <mergeCell ref="A101:DA101"/>
    <mergeCell ref="A103:G103"/>
    <mergeCell ref="H103:BC103"/>
    <mergeCell ref="BD103:BS103"/>
    <mergeCell ref="BT103:CI103"/>
    <mergeCell ref="CJ103:DA103"/>
    <mergeCell ref="BT106:CI106"/>
    <mergeCell ref="CJ104:DA104"/>
    <mergeCell ref="A105:G105"/>
    <mergeCell ref="H105:BC105"/>
    <mergeCell ref="BD105:BS105"/>
    <mergeCell ref="BT105:CI105"/>
    <mergeCell ref="CJ105:DA105"/>
    <mergeCell ref="A104:G104"/>
    <mergeCell ref="H104:BC104"/>
    <mergeCell ref="BD104:BS104"/>
    <mergeCell ref="CL111:DA111"/>
    <mergeCell ref="CJ106:DA106"/>
    <mergeCell ref="A107:G107"/>
    <mergeCell ref="H107:BC107"/>
    <mergeCell ref="BD107:BS107"/>
    <mergeCell ref="BT107:CI107"/>
    <mergeCell ref="CJ107:DA107"/>
    <mergeCell ref="A106:G106"/>
    <mergeCell ref="H106:BC106"/>
    <mergeCell ref="BD106:BS106"/>
    <mergeCell ref="A112:G112"/>
    <mergeCell ref="H112:AO112"/>
    <mergeCell ref="AP112:BE112"/>
    <mergeCell ref="BF112:BU112"/>
    <mergeCell ref="A109:DA109"/>
    <mergeCell ref="A111:G111"/>
    <mergeCell ref="H111:AO111"/>
    <mergeCell ref="AP111:BE111"/>
    <mergeCell ref="BF111:BU111"/>
    <mergeCell ref="BV111:CK111"/>
    <mergeCell ref="AP114:BE114"/>
    <mergeCell ref="BF114:BU114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BT120:CI120"/>
    <mergeCell ref="A117:DA117"/>
    <mergeCell ref="A119:G119"/>
    <mergeCell ref="H119:BC119"/>
    <mergeCell ref="BD119:BS119"/>
    <mergeCell ref="BT119:CI119"/>
    <mergeCell ref="CJ119:DA119"/>
    <mergeCell ref="BT122:CI122"/>
    <mergeCell ref="CJ120:DA120"/>
    <mergeCell ref="A121:G121"/>
    <mergeCell ref="H121:BC121"/>
    <mergeCell ref="BD121:BS121"/>
    <mergeCell ref="BT121:CI121"/>
    <mergeCell ref="CJ121:DA121"/>
    <mergeCell ref="A120:G120"/>
    <mergeCell ref="H120:BC120"/>
    <mergeCell ref="BD120:BS120"/>
    <mergeCell ref="CJ127:DA127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CJ129:DA129"/>
    <mergeCell ref="A128:G128"/>
    <mergeCell ref="H128:BC128"/>
    <mergeCell ref="BD128:BS128"/>
    <mergeCell ref="BT128:CI128"/>
    <mergeCell ref="A125:DA125"/>
    <mergeCell ref="A127:G127"/>
    <mergeCell ref="H127:BC127"/>
    <mergeCell ref="BD127:BS127"/>
    <mergeCell ref="BT127:CI127"/>
    <mergeCell ref="CJ131:DA131"/>
    <mergeCell ref="A130:G130"/>
    <mergeCell ref="H130:BC130"/>
    <mergeCell ref="BD130:BS130"/>
    <mergeCell ref="BT130:CI130"/>
    <mergeCell ref="CJ128:DA128"/>
    <mergeCell ref="A129:G129"/>
    <mergeCell ref="H129:BC129"/>
    <mergeCell ref="BD129:BS129"/>
    <mergeCell ref="BT129:CI129"/>
    <mergeCell ref="A133:DA133"/>
    <mergeCell ref="A135:G135"/>
    <mergeCell ref="H135:BS135"/>
    <mergeCell ref="BT135:CI135"/>
    <mergeCell ref="CJ135:DA135"/>
    <mergeCell ref="CJ130:DA130"/>
    <mergeCell ref="A131:G131"/>
    <mergeCell ref="H131:BC131"/>
    <mergeCell ref="BD131:BS131"/>
    <mergeCell ref="BT131:CI131"/>
    <mergeCell ref="A137:G137"/>
    <mergeCell ref="H137:BS137"/>
    <mergeCell ref="BT137:CI137"/>
    <mergeCell ref="CJ137:DA137"/>
    <mergeCell ref="A136:G136"/>
    <mergeCell ref="H136:BS136"/>
    <mergeCell ref="BT136:CI136"/>
    <mergeCell ref="CJ136:DA136"/>
    <mergeCell ref="A139:G139"/>
    <mergeCell ref="H139:BS139"/>
    <mergeCell ref="BT139:CI139"/>
    <mergeCell ref="CJ139:DA139"/>
    <mergeCell ref="A138:G138"/>
    <mergeCell ref="H138:BS138"/>
    <mergeCell ref="BT138:CI138"/>
    <mergeCell ref="CJ138:DA138"/>
    <mergeCell ref="A141:DA141"/>
    <mergeCell ref="A143:G143"/>
    <mergeCell ref="H143:BC143"/>
    <mergeCell ref="BD143:BS143"/>
    <mergeCell ref="BT143:CI143"/>
    <mergeCell ref="CJ143:DA143"/>
    <mergeCell ref="CJ144:DA144"/>
    <mergeCell ref="A145:G145"/>
    <mergeCell ref="H145:BC145"/>
    <mergeCell ref="BD145:BS145"/>
    <mergeCell ref="BT145:CI145"/>
    <mergeCell ref="CJ145:DA145"/>
    <mergeCell ref="A144:G144"/>
    <mergeCell ref="H144:BC144"/>
    <mergeCell ref="BD144:BS144"/>
    <mergeCell ref="BT144:CI144"/>
    <mergeCell ref="CJ146:DA146"/>
    <mergeCell ref="A147:G147"/>
    <mergeCell ref="H147:BC147"/>
    <mergeCell ref="BD147:BS147"/>
    <mergeCell ref="BT147:CI147"/>
    <mergeCell ref="CJ147:DA147"/>
    <mergeCell ref="A146:G146"/>
    <mergeCell ref="H146:BC146"/>
    <mergeCell ref="BD146:BS146"/>
    <mergeCell ref="BT146:CI14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228"/>
  <sheetViews>
    <sheetView zoomScaleSheetLayoutView="89" zoomScalePageLayoutView="0" workbookViewId="0" topLeftCell="A191">
      <selection activeCell="E1" sqref="A1:FF228"/>
    </sheetView>
  </sheetViews>
  <sheetFormatPr defaultColWidth="0.875" defaultRowHeight="12" customHeight="1"/>
  <cols>
    <col min="1" max="51" width="0.875" style="79" customWidth="1"/>
    <col min="52" max="52" width="17.125" style="79" customWidth="1"/>
    <col min="53" max="53" width="0.12890625" style="79" customWidth="1"/>
    <col min="54" max="56" width="0.875" style="79" hidden="1" customWidth="1"/>
    <col min="57" max="69" width="0.875" style="79" customWidth="1"/>
    <col min="70" max="70" width="3.125" style="79" customWidth="1"/>
    <col min="71" max="87" width="0.875" style="79" customWidth="1"/>
    <col min="88" max="88" width="5.125" style="79" customWidth="1"/>
    <col min="89" max="104" width="0.875" style="79" customWidth="1"/>
    <col min="105" max="105" width="25.625" style="79" customWidth="1"/>
    <col min="106" max="16384" width="0.875" style="79" customWidth="1"/>
  </cols>
  <sheetData>
    <row r="1" spans="1:162" ht="30" customHeight="1">
      <c r="A1" s="103"/>
      <c r="B1" s="80" t="s">
        <v>221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430" t="s">
        <v>109</v>
      </c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0"/>
      <c r="CG1" s="430"/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0"/>
      <c r="DL1" s="430"/>
      <c r="DM1" s="430"/>
      <c r="DN1" s="430"/>
      <c r="DO1" s="430"/>
      <c r="DP1" s="430"/>
      <c r="DQ1" s="430"/>
      <c r="DR1" s="430"/>
      <c r="DS1" s="430"/>
      <c r="DT1" s="430"/>
      <c r="DU1" s="430"/>
      <c r="DV1" s="430"/>
      <c r="DW1" s="430"/>
      <c r="DX1" s="430"/>
      <c r="DY1" s="430"/>
      <c r="DZ1" s="430"/>
      <c r="EA1" s="430"/>
      <c r="EB1" s="430"/>
      <c r="EC1" s="430"/>
      <c r="ED1" s="430"/>
      <c r="EE1" s="430"/>
      <c r="EF1" s="430"/>
      <c r="EG1" s="430"/>
      <c r="EH1" s="430"/>
      <c r="EI1" s="430"/>
      <c r="EJ1" s="430"/>
      <c r="EK1" s="430"/>
      <c r="EL1" s="430"/>
      <c r="EM1" s="430"/>
      <c r="EN1" s="430"/>
      <c r="EO1" s="430"/>
      <c r="EP1" s="430"/>
      <c r="EQ1" s="430"/>
      <c r="ER1" s="430"/>
      <c r="ES1" s="430"/>
      <c r="ET1" s="430"/>
      <c r="EU1" s="430"/>
      <c r="EV1" s="430"/>
      <c r="EW1" s="430"/>
      <c r="EX1" s="430"/>
      <c r="EY1" s="430"/>
      <c r="EZ1" s="430"/>
      <c r="FA1" s="430"/>
      <c r="FB1" s="430"/>
      <c r="FC1" s="430"/>
      <c r="FD1" s="430"/>
      <c r="FE1" s="430"/>
      <c r="FF1" s="430"/>
    </row>
    <row r="2" spans="1:106" s="80" customFormat="1" ht="14.25">
      <c r="A2" s="103"/>
      <c r="B2" s="199" t="s">
        <v>349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</row>
    <row r="3" ht="10.5" customHeight="1">
      <c r="A3" s="103"/>
    </row>
    <row r="4" spans="1:106" s="82" customFormat="1" ht="45" customHeight="1">
      <c r="A4" s="103"/>
      <c r="B4" s="419" t="s">
        <v>192</v>
      </c>
      <c r="C4" s="420"/>
      <c r="D4" s="420"/>
      <c r="E4" s="420"/>
      <c r="F4" s="420"/>
      <c r="G4" s="421"/>
      <c r="H4" s="419" t="s">
        <v>236</v>
      </c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1"/>
      <c r="AF4" s="419" t="s">
        <v>237</v>
      </c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1"/>
      <c r="BE4" s="419" t="s">
        <v>238</v>
      </c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0"/>
      <c r="BS4" s="420"/>
      <c r="BT4" s="421"/>
      <c r="BU4" s="419" t="s">
        <v>239</v>
      </c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1"/>
      <c r="CK4" s="419" t="s">
        <v>240</v>
      </c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  <c r="CX4" s="420"/>
      <c r="CY4" s="420"/>
      <c r="CZ4" s="420"/>
      <c r="DA4" s="420"/>
      <c r="DB4" s="421"/>
    </row>
    <row r="5" spans="1:106" s="83" customFormat="1" ht="12.75">
      <c r="A5" s="103"/>
      <c r="B5" s="416">
        <v>1</v>
      </c>
      <c r="C5" s="416"/>
      <c r="D5" s="416"/>
      <c r="E5" s="416"/>
      <c r="F5" s="416"/>
      <c r="G5" s="416"/>
      <c r="H5" s="416">
        <v>2</v>
      </c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>
        <v>3</v>
      </c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>
        <v>4</v>
      </c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>
        <v>5</v>
      </c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>
        <v>6</v>
      </c>
      <c r="CL5" s="416"/>
      <c r="CM5" s="416"/>
      <c r="CN5" s="416"/>
      <c r="CO5" s="416"/>
      <c r="CP5" s="416"/>
      <c r="CQ5" s="416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</row>
    <row r="6" spans="1:106" s="84" customFormat="1" ht="38.25" customHeight="1">
      <c r="A6" s="103"/>
      <c r="B6" s="407" t="s">
        <v>169</v>
      </c>
      <c r="C6" s="407"/>
      <c r="D6" s="407"/>
      <c r="E6" s="407"/>
      <c r="F6" s="407"/>
      <c r="G6" s="407"/>
      <c r="H6" s="408" t="s">
        <v>346</v>
      </c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71">
        <v>1869.21</v>
      </c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09">
        <v>105</v>
      </c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  <c r="BU6" s="409">
        <v>4.5</v>
      </c>
      <c r="BV6" s="409"/>
      <c r="BW6" s="409"/>
      <c r="BX6" s="409"/>
      <c r="BY6" s="409"/>
      <c r="BZ6" s="409"/>
      <c r="CA6" s="409"/>
      <c r="CB6" s="409"/>
      <c r="CC6" s="409"/>
      <c r="CD6" s="409"/>
      <c r="CE6" s="409"/>
      <c r="CF6" s="409"/>
      <c r="CG6" s="409"/>
      <c r="CH6" s="409"/>
      <c r="CI6" s="409"/>
      <c r="CJ6" s="409"/>
      <c r="CK6" s="471">
        <f>(AF6*BE6*BU6)-1.73</f>
        <v>883200</v>
      </c>
      <c r="CL6" s="471"/>
      <c r="CM6" s="471"/>
      <c r="CN6" s="471"/>
      <c r="CO6" s="471"/>
      <c r="CP6" s="471"/>
      <c r="CQ6" s="471"/>
      <c r="CR6" s="471"/>
      <c r="CS6" s="471"/>
      <c r="CT6" s="471"/>
      <c r="CU6" s="471"/>
      <c r="CV6" s="471"/>
      <c r="CW6" s="471"/>
      <c r="CX6" s="471"/>
      <c r="CY6" s="471"/>
      <c r="CZ6" s="471"/>
      <c r="DA6" s="471"/>
      <c r="DB6" s="471"/>
    </row>
    <row r="7" spans="1:106" s="84" customFormat="1" ht="59.25" customHeight="1">
      <c r="A7" s="103"/>
      <c r="B7" s="407" t="s">
        <v>37</v>
      </c>
      <c r="C7" s="407"/>
      <c r="D7" s="407"/>
      <c r="E7" s="407"/>
      <c r="F7" s="407"/>
      <c r="G7" s="407"/>
      <c r="H7" s="408" t="s">
        <v>347</v>
      </c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71">
        <v>400000</v>
      </c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</row>
    <row r="8" spans="1:106" s="84" customFormat="1" ht="15" customHeight="1">
      <c r="A8" s="103"/>
      <c r="B8" s="407"/>
      <c r="C8" s="407"/>
      <c r="D8" s="407"/>
      <c r="E8" s="407"/>
      <c r="F8" s="407"/>
      <c r="G8" s="407"/>
      <c r="H8" s="477" t="s">
        <v>233</v>
      </c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9"/>
      <c r="AF8" s="409" t="s">
        <v>234</v>
      </c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 t="s">
        <v>234</v>
      </c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 t="s">
        <v>234</v>
      </c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90">
        <f>SUM(CK6:CK7)</f>
        <v>1283200</v>
      </c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</row>
    <row r="9" ht="12" customHeight="1">
      <c r="A9" s="103"/>
    </row>
    <row r="10" spans="1:106" s="80" customFormat="1" ht="14.25">
      <c r="A10" s="103"/>
      <c r="B10" s="199" t="s">
        <v>350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</row>
    <row r="11" ht="10.5" customHeight="1">
      <c r="A11" s="103"/>
    </row>
    <row r="12" spans="1:106" s="82" customFormat="1" ht="55.5" customHeight="1">
      <c r="A12" s="103"/>
      <c r="B12" s="419" t="s">
        <v>192</v>
      </c>
      <c r="C12" s="420"/>
      <c r="D12" s="420"/>
      <c r="E12" s="420"/>
      <c r="F12" s="420"/>
      <c r="G12" s="421"/>
      <c r="H12" s="419" t="s">
        <v>236</v>
      </c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1"/>
      <c r="AF12" s="419" t="s">
        <v>242</v>
      </c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1"/>
      <c r="BA12" s="419" t="s">
        <v>243</v>
      </c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1"/>
      <c r="BS12" s="201" t="s">
        <v>244</v>
      </c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3"/>
      <c r="CK12" s="419" t="s">
        <v>240</v>
      </c>
      <c r="CL12" s="420"/>
      <c r="CM12" s="420"/>
      <c r="CN12" s="420"/>
      <c r="CO12" s="420"/>
      <c r="CP12" s="420"/>
      <c r="CQ12" s="420"/>
      <c r="CR12" s="420"/>
      <c r="CS12" s="420"/>
      <c r="CT12" s="420"/>
      <c r="CU12" s="420"/>
      <c r="CV12" s="420"/>
      <c r="CW12" s="420"/>
      <c r="CX12" s="420"/>
      <c r="CY12" s="420"/>
      <c r="CZ12" s="420"/>
      <c r="DA12" s="420"/>
      <c r="DB12" s="421"/>
    </row>
    <row r="13" spans="1:106" s="83" customFormat="1" ht="12.75">
      <c r="A13" s="103"/>
      <c r="B13" s="416">
        <v>1</v>
      </c>
      <c r="C13" s="416"/>
      <c r="D13" s="416"/>
      <c r="E13" s="416"/>
      <c r="F13" s="416"/>
      <c r="G13" s="416"/>
      <c r="H13" s="416">
        <v>2</v>
      </c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>
        <v>3</v>
      </c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>
        <v>4</v>
      </c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>
        <v>5</v>
      </c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>
        <v>6</v>
      </c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</row>
    <row r="14" spans="1:106" s="84" customFormat="1" ht="31.5" customHeight="1">
      <c r="A14" s="103"/>
      <c r="B14" s="407" t="s">
        <v>169</v>
      </c>
      <c r="C14" s="407"/>
      <c r="D14" s="407"/>
      <c r="E14" s="407"/>
      <c r="F14" s="407"/>
      <c r="G14" s="407"/>
      <c r="H14" s="408" t="s">
        <v>348</v>
      </c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9">
        <v>28</v>
      </c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>
        <v>12</v>
      </c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190">
        <v>50</v>
      </c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2"/>
      <c r="CK14" s="471">
        <v>16800</v>
      </c>
      <c r="CL14" s="471"/>
      <c r="CM14" s="471"/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  <c r="CX14" s="471"/>
      <c r="CY14" s="471"/>
      <c r="CZ14" s="471"/>
      <c r="DA14" s="471"/>
      <c r="DB14" s="471"/>
    </row>
    <row r="15" spans="1:106" s="84" customFormat="1" ht="15" customHeight="1">
      <c r="A15" s="103"/>
      <c r="B15" s="407"/>
      <c r="C15" s="407"/>
      <c r="D15" s="407"/>
      <c r="E15" s="407"/>
      <c r="F15" s="407"/>
      <c r="G15" s="407"/>
      <c r="H15" s="184" t="s">
        <v>233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  <c r="AF15" s="409" t="s">
        <v>234</v>
      </c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 t="s">
        <v>234</v>
      </c>
      <c r="BB15" s="409"/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 t="s">
        <v>234</v>
      </c>
      <c r="BT15" s="409"/>
      <c r="BU15" s="409"/>
      <c r="BV15" s="409"/>
      <c r="BW15" s="409"/>
      <c r="BX15" s="409"/>
      <c r="BY15" s="409"/>
      <c r="BZ15" s="409"/>
      <c r="CA15" s="409"/>
      <c r="CB15" s="409"/>
      <c r="CC15" s="409"/>
      <c r="CD15" s="409"/>
      <c r="CE15" s="409"/>
      <c r="CF15" s="409"/>
      <c r="CG15" s="409"/>
      <c r="CH15" s="409"/>
      <c r="CI15" s="409"/>
      <c r="CJ15" s="409"/>
      <c r="CK15" s="490">
        <f>SUM(CK14:CK14)</f>
        <v>16800</v>
      </c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</row>
    <row r="16" spans="1:105" s="84" customFormat="1" ht="15" customHeight="1">
      <c r="A16" s="103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6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</row>
    <row r="17" spans="1:162" ht="12" customHeight="1">
      <c r="A17" s="439" t="s">
        <v>351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</row>
    <row r="18" spans="1:162" s="80" customFormat="1" ht="18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</row>
    <row r="19" spans="1:105" ht="10.5" customHeight="1">
      <c r="A19" s="419" t="s">
        <v>192</v>
      </c>
      <c r="B19" s="420"/>
      <c r="C19" s="420"/>
      <c r="D19" s="420"/>
      <c r="E19" s="420"/>
      <c r="F19" s="421"/>
      <c r="G19" s="419" t="s">
        <v>246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0"/>
      <c r="AP19" s="420"/>
      <c r="AQ19" s="420"/>
      <c r="AR19" s="420"/>
      <c r="AS19" s="420"/>
      <c r="AT19" s="420"/>
      <c r="AU19" s="420"/>
      <c r="AV19" s="420"/>
      <c r="AW19" s="420"/>
      <c r="AX19" s="420"/>
      <c r="AY19" s="420"/>
      <c r="AZ19" s="420"/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1"/>
      <c r="BW19" s="419" t="s">
        <v>247</v>
      </c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1"/>
      <c r="CM19" s="419" t="s">
        <v>248</v>
      </c>
      <c r="CN19" s="420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1"/>
    </row>
    <row r="20" spans="1:162" ht="55.5" customHeight="1">
      <c r="A20" s="416">
        <v>1</v>
      </c>
      <c r="B20" s="416"/>
      <c r="C20" s="416"/>
      <c r="D20" s="416"/>
      <c r="E20" s="416"/>
      <c r="F20" s="416"/>
      <c r="G20" s="416">
        <v>2</v>
      </c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>
        <v>3</v>
      </c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>
        <v>4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</row>
    <row r="21" spans="1:162" s="86" customFormat="1" ht="15">
      <c r="A21" s="407" t="s">
        <v>169</v>
      </c>
      <c r="B21" s="407"/>
      <c r="C21" s="407"/>
      <c r="D21" s="407"/>
      <c r="E21" s="407"/>
      <c r="F21" s="407"/>
      <c r="G21" s="96"/>
      <c r="H21" s="435" t="s">
        <v>249</v>
      </c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5"/>
      <c r="BU21" s="435"/>
      <c r="BV21" s="436"/>
      <c r="BW21" s="409" t="s">
        <v>234</v>
      </c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09"/>
      <c r="CJ21" s="409"/>
      <c r="CK21" s="409"/>
      <c r="CL21" s="409"/>
      <c r="CM21" s="409"/>
      <c r="CN21" s="409"/>
      <c r="CO21" s="409"/>
      <c r="CP21" s="409"/>
      <c r="CQ21" s="409"/>
      <c r="CR21" s="409"/>
      <c r="CS21" s="409"/>
      <c r="CT21" s="409"/>
      <c r="CU21" s="409"/>
      <c r="CV21" s="409"/>
      <c r="CW21" s="409"/>
      <c r="CX21" s="409"/>
      <c r="CY21" s="409"/>
      <c r="CZ21" s="409"/>
      <c r="DA21" s="40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</row>
    <row r="22" spans="1:162" ht="15" customHeight="1">
      <c r="A22" s="455" t="s">
        <v>250</v>
      </c>
      <c r="B22" s="456"/>
      <c r="C22" s="456"/>
      <c r="D22" s="456"/>
      <c r="E22" s="456"/>
      <c r="F22" s="457"/>
      <c r="G22" s="97"/>
      <c r="H22" s="461" t="s">
        <v>6</v>
      </c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461"/>
      <c r="BV22" s="462"/>
      <c r="BW22" s="472">
        <v>271000000</v>
      </c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4"/>
      <c r="CM22" s="472">
        <f>BW22*22%</f>
        <v>59620000</v>
      </c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5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</row>
    <row r="23" spans="1:105" s="86" customFormat="1" ht="12.75" customHeight="1">
      <c r="A23" s="458"/>
      <c r="B23" s="459"/>
      <c r="C23" s="459"/>
      <c r="D23" s="459"/>
      <c r="E23" s="459"/>
      <c r="F23" s="460"/>
      <c r="G23" s="98"/>
      <c r="H23" s="469" t="s">
        <v>251</v>
      </c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70"/>
      <c r="BW23" s="491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3"/>
      <c r="CM23" s="496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8"/>
    </row>
    <row r="24" spans="1:105" s="86" customFormat="1" ht="12.75" customHeight="1">
      <c r="A24" s="407" t="s">
        <v>252</v>
      </c>
      <c r="B24" s="407"/>
      <c r="C24" s="407"/>
      <c r="D24" s="407"/>
      <c r="E24" s="407"/>
      <c r="F24" s="407"/>
      <c r="G24" s="96"/>
      <c r="H24" s="453" t="s">
        <v>253</v>
      </c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453"/>
      <c r="AT24" s="453"/>
      <c r="AU24" s="453"/>
      <c r="AV24" s="453"/>
      <c r="AW24" s="453"/>
      <c r="AX24" s="453"/>
      <c r="AY24" s="453"/>
      <c r="AZ24" s="453"/>
      <c r="BA24" s="453"/>
      <c r="BB24" s="453"/>
      <c r="BC24" s="453"/>
      <c r="BD24" s="453"/>
      <c r="BE24" s="453"/>
      <c r="BF24" s="453"/>
      <c r="BG24" s="453"/>
      <c r="BH24" s="453"/>
      <c r="BI24" s="453"/>
      <c r="BJ24" s="453"/>
      <c r="BK24" s="453"/>
      <c r="BL24" s="453"/>
      <c r="BM24" s="453"/>
      <c r="BN24" s="453"/>
      <c r="BO24" s="453"/>
      <c r="BP24" s="453"/>
      <c r="BQ24" s="453"/>
      <c r="BR24" s="453"/>
      <c r="BS24" s="453"/>
      <c r="BT24" s="453"/>
      <c r="BU24" s="453"/>
      <c r="BV24" s="454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09"/>
      <c r="CJ24" s="409"/>
      <c r="CK24" s="409"/>
      <c r="CL24" s="409"/>
      <c r="CM24" s="409"/>
      <c r="CN24" s="409"/>
      <c r="CO24" s="409"/>
      <c r="CP24" s="409"/>
      <c r="CQ24" s="409"/>
      <c r="CR24" s="409"/>
      <c r="CS24" s="409"/>
      <c r="CT24" s="409"/>
      <c r="CU24" s="409"/>
      <c r="CV24" s="409"/>
      <c r="CW24" s="409"/>
      <c r="CX24" s="409"/>
      <c r="CY24" s="409"/>
      <c r="CZ24" s="409"/>
      <c r="DA24" s="409"/>
    </row>
    <row r="25" spans="1:105" s="86" customFormat="1" ht="13.5" customHeight="1">
      <c r="A25" s="407" t="s">
        <v>254</v>
      </c>
      <c r="B25" s="407"/>
      <c r="C25" s="407"/>
      <c r="D25" s="407"/>
      <c r="E25" s="407"/>
      <c r="F25" s="407"/>
      <c r="G25" s="96"/>
      <c r="H25" s="453" t="s">
        <v>255</v>
      </c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4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</row>
    <row r="26" spans="1:105" s="86" customFormat="1" ht="26.25" customHeight="1">
      <c r="A26" s="407" t="s">
        <v>37</v>
      </c>
      <c r="B26" s="407"/>
      <c r="C26" s="407"/>
      <c r="D26" s="407"/>
      <c r="E26" s="407"/>
      <c r="F26" s="407"/>
      <c r="G26" s="96"/>
      <c r="H26" s="435" t="s">
        <v>256</v>
      </c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5"/>
      <c r="BF26" s="435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5"/>
      <c r="BU26" s="435"/>
      <c r="BV26" s="436"/>
      <c r="BW26" s="409" t="s">
        <v>234</v>
      </c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09"/>
      <c r="CJ26" s="409"/>
      <c r="CK26" s="409"/>
      <c r="CL26" s="409"/>
      <c r="CM26" s="409"/>
      <c r="CN26" s="409"/>
      <c r="CO26" s="409"/>
      <c r="CP26" s="409"/>
      <c r="CQ26" s="409"/>
      <c r="CR26" s="409"/>
      <c r="CS26" s="409"/>
      <c r="CT26" s="409"/>
      <c r="CU26" s="409"/>
      <c r="CV26" s="409"/>
      <c r="CW26" s="409"/>
      <c r="CX26" s="409"/>
      <c r="CY26" s="409"/>
      <c r="CZ26" s="409"/>
      <c r="DA26" s="409"/>
    </row>
    <row r="27" spans="1:105" s="86" customFormat="1" ht="26.25" customHeight="1">
      <c r="A27" s="455" t="s">
        <v>257</v>
      </c>
      <c r="B27" s="456"/>
      <c r="C27" s="456"/>
      <c r="D27" s="456"/>
      <c r="E27" s="456"/>
      <c r="F27" s="457"/>
      <c r="G27" s="97"/>
      <c r="H27" s="461" t="s">
        <v>6</v>
      </c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I27" s="461"/>
      <c r="BJ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2"/>
      <c r="BW27" s="472">
        <v>271000000</v>
      </c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4"/>
      <c r="CM27" s="472">
        <f>BW27*2.9%</f>
        <v>7859000</v>
      </c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5"/>
    </row>
    <row r="28" spans="1:105" s="86" customFormat="1" ht="12.75" customHeight="1">
      <c r="A28" s="458"/>
      <c r="B28" s="459"/>
      <c r="C28" s="459"/>
      <c r="D28" s="459"/>
      <c r="E28" s="459"/>
      <c r="F28" s="460"/>
      <c r="G28" s="98"/>
      <c r="H28" s="469" t="s">
        <v>258</v>
      </c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70"/>
      <c r="BW28" s="491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3"/>
      <c r="CM28" s="496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7"/>
      <c r="DA28" s="498"/>
    </row>
    <row r="29" spans="1:105" s="86" customFormat="1" ht="25.5" customHeight="1">
      <c r="A29" s="407" t="s">
        <v>259</v>
      </c>
      <c r="B29" s="407"/>
      <c r="C29" s="407"/>
      <c r="D29" s="407"/>
      <c r="E29" s="407"/>
      <c r="F29" s="407"/>
      <c r="G29" s="96"/>
      <c r="H29" s="453" t="s">
        <v>260</v>
      </c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4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</row>
    <row r="30" spans="1:105" s="86" customFormat="1" ht="26.25" customHeight="1">
      <c r="A30" s="407" t="s">
        <v>261</v>
      </c>
      <c r="B30" s="407"/>
      <c r="C30" s="407"/>
      <c r="D30" s="407"/>
      <c r="E30" s="407"/>
      <c r="F30" s="407"/>
      <c r="G30" s="96"/>
      <c r="H30" s="453" t="s">
        <v>262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3"/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4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</row>
    <row r="31" spans="1:105" s="86" customFormat="1" ht="27" customHeight="1">
      <c r="A31" s="407" t="s">
        <v>263</v>
      </c>
      <c r="B31" s="407"/>
      <c r="C31" s="407"/>
      <c r="D31" s="407"/>
      <c r="E31" s="407"/>
      <c r="F31" s="407"/>
      <c r="G31" s="96"/>
      <c r="H31" s="453" t="s">
        <v>352</v>
      </c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3"/>
      <c r="BV31" s="454"/>
      <c r="BW31" s="472">
        <v>271000000</v>
      </c>
      <c r="BX31" s="473"/>
      <c r="BY31" s="473"/>
      <c r="BZ31" s="473"/>
      <c r="CA31" s="473"/>
      <c r="CB31" s="473"/>
      <c r="CC31" s="473"/>
      <c r="CD31" s="473"/>
      <c r="CE31" s="473"/>
      <c r="CF31" s="473"/>
      <c r="CG31" s="473"/>
      <c r="CH31" s="473"/>
      <c r="CI31" s="473"/>
      <c r="CJ31" s="473"/>
      <c r="CK31" s="473"/>
      <c r="CL31" s="474"/>
      <c r="CM31" s="471">
        <f>BW31*0.2%</f>
        <v>542000</v>
      </c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</row>
    <row r="32" spans="1:105" s="86" customFormat="1" ht="27" customHeight="1">
      <c r="A32" s="407" t="s">
        <v>265</v>
      </c>
      <c r="B32" s="407"/>
      <c r="C32" s="407"/>
      <c r="D32" s="407"/>
      <c r="E32" s="407"/>
      <c r="F32" s="407"/>
      <c r="G32" s="96"/>
      <c r="H32" s="453" t="s">
        <v>264</v>
      </c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454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</row>
    <row r="33" spans="1:105" s="86" customFormat="1" ht="27" customHeight="1">
      <c r="A33" s="407" t="s">
        <v>38</v>
      </c>
      <c r="B33" s="407"/>
      <c r="C33" s="407"/>
      <c r="D33" s="407"/>
      <c r="E33" s="407"/>
      <c r="F33" s="407"/>
      <c r="G33" s="96"/>
      <c r="H33" s="435" t="s">
        <v>266</v>
      </c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6"/>
      <c r="BW33" s="472">
        <v>271000000</v>
      </c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474"/>
      <c r="CM33" s="471">
        <f>BW33*5.1%</f>
        <v>13821000</v>
      </c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</row>
    <row r="34" spans="1:105" s="86" customFormat="1" ht="26.25" customHeight="1">
      <c r="A34" s="407"/>
      <c r="B34" s="407"/>
      <c r="C34" s="407"/>
      <c r="D34" s="407"/>
      <c r="E34" s="407"/>
      <c r="F34" s="407"/>
      <c r="G34" s="184" t="s">
        <v>233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6"/>
      <c r="BW34" s="409" t="s">
        <v>234</v>
      </c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90">
        <f>SUM(CM22:CM33)</f>
        <v>81842000</v>
      </c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</row>
    <row r="35" spans="1:162" s="86" customFormat="1" ht="13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</row>
    <row r="36" spans="1:162" ht="48.75" customHeight="1">
      <c r="A36" s="475" t="s">
        <v>267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  <c r="CT36" s="476"/>
      <c r="CU36" s="476"/>
      <c r="CV36" s="476"/>
      <c r="CW36" s="476"/>
      <c r="CX36" s="476"/>
      <c r="CY36" s="476"/>
      <c r="CZ36" s="476"/>
      <c r="DA36" s="476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</row>
    <row r="37" spans="1:162" s="87" customFormat="1" ht="11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</row>
    <row r="38" spans="1:105" ht="12" customHeight="1">
      <c r="A38" s="199" t="s">
        <v>272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</row>
    <row r="39" spans="1:162" s="80" customFormat="1" ht="1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</row>
    <row r="40" spans="1:105" ht="21.75" customHeight="1">
      <c r="A40" s="80" t="s">
        <v>221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430" t="s">
        <v>124</v>
      </c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0"/>
      <c r="BI40" s="430"/>
      <c r="BJ40" s="430"/>
      <c r="BK40" s="430"/>
      <c r="BL40" s="430"/>
      <c r="BM40" s="430"/>
      <c r="BN40" s="430"/>
      <c r="BO40" s="430"/>
      <c r="BP40" s="430"/>
      <c r="BQ40" s="430"/>
      <c r="BR40" s="430"/>
      <c r="BS40" s="430"/>
      <c r="BT40" s="430"/>
      <c r="BU40" s="430"/>
      <c r="BV40" s="430"/>
      <c r="BW40" s="430"/>
      <c r="BX40" s="430"/>
      <c r="BY40" s="430"/>
      <c r="BZ40" s="430"/>
      <c r="CA40" s="430"/>
      <c r="CB40" s="430"/>
      <c r="CC40" s="430"/>
      <c r="CD40" s="430"/>
      <c r="CE40" s="430"/>
      <c r="CF40" s="430"/>
      <c r="CG40" s="430"/>
      <c r="CH40" s="430"/>
      <c r="CI40" s="430"/>
      <c r="CJ40" s="430"/>
      <c r="CK40" s="430"/>
      <c r="CL40" s="430"/>
      <c r="CM40" s="430"/>
      <c r="CN40" s="430"/>
      <c r="CO40" s="430"/>
      <c r="CP40" s="430"/>
      <c r="CQ40" s="430"/>
      <c r="CR40" s="430"/>
      <c r="CS40" s="430"/>
      <c r="CT40" s="430"/>
      <c r="CU40" s="430"/>
      <c r="CV40" s="430"/>
      <c r="CW40" s="430"/>
      <c r="CX40" s="430"/>
      <c r="CY40" s="430"/>
      <c r="CZ40" s="430"/>
      <c r="DA40" s="430"/>
    </row>
    <row r="41" spans="1:162" s="80" customFormat="1" ht="26.25" customHeight="1">
      <c r="A41" s="431" t="s">
        <v>222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47" t="s">
        <v>353</v>
      </c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7"/>
      <c r="CE41" s="447"/>
      <c r="CF41" s="447"/>
      <c r="CG41" s="447"/>
      <c r="CH41" s="447"/>
      <c r="CI41" s="447"/>
      <c r="CJ41" s="447"/>
      <c r="CK41" s="447"/>
      <c r="CL41" s="447"/>
      <c r="CM41" s="447"/>
      <c r="CN41" s="447"/>
      <c r="CO41" s="447"/>
      <c r="CP41" s="447"/>
      <c r="CQ41" s="447"/>
      <c r="CR41" s="447"/>
      <c r="CS41" s="447"/>
      <c r="CT41" s="447"/>
      <c r="CU41" s="447"/>
      <c r="CV41" s="447"/>
      <c r="CW41" s="447"/>
      <c r="CX41" s="447"/>
      <c r="CY41" s="447"/>
      <c r="CZ41" s="447"/>
      <c r="DA41" s="447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</row>
    <row r="42" spans="1:162" s="80" customFormat="1" ht="18" customHeight="1">
      <c r="A42" s="407" t="s">
        <v>169</v>
      </c>
      <c r="B42" s="407"/>
      <c r="C42" s="407"/>
      <c r="D42" s="407"/>
      <c r="E42" s="407"/>
      <c r="F42" s="407"/>
      <c r="G42" s="407"/>
      <c r="H42" s="408" t="s">
        <v>354</v>
      </c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09"/>
      <c r="CC42" s="409"/>
      <c r="CD42" s="409"/>
      <c r="CE42" s="471">
        <f>75480+53790</f>
        <v>129270</v>
      </c>
      <c r="CF42" s="471"/>
      <c r="CG42" s="471"/>
      <c r="CH42" s="471"/>
      <c r="CI42" s="471"/>
      <c r="CJ42" s="471"/>
      <c r="CK42" s="471"/>
      <c r="CL42" s="471"/>
      <c r="CM42" s="471"/>
      <c r="CN42" s="471"/>
      <c r="CO42" s="471"/>
      <c r="CP42" s="471"/>
      <c r="CQ42" s="471"/>
      <c r="CR42" s="471"/>
      <c r="CS42" s="471"/>
      <c r="CT42" s="471"/>
      <c r="CU42" s="471"/>
      <c r="CV42" s="471"/>
      <c r="CW42" s="471"/>
      <c r="CX42" s="471"/>
      <c r="CY42" s="471"/>
      <c r="CZ42" s="471"/>
      <c r="DA42" s="471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</row>
    <row r="43" spans="1:162" s="80" customFormat="1" ht="14.25">
      <c r="A43" s="407" t="s">
        <v>37</v>
      </c>
      <c r="B43" s="407"/>
      <c r="C43" s="407"/>
      <c r="D43" s="407"/>
      <c r="E43" s="407"/>
      <c r="F43" s="407"/>
      <c r="G43" s="407"/>
      <c r="H43" s="408" t="s">
        <v>355</v>
      </c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09"/>
      <c r="BW43" s="409"/>
      <c r="BX43" s="409"/>
      <c r="BY43" s="409"/>
      <c r="BZ43" s="409"/>
      <c r="CA43" s="409"/>
      <c r="CB43" s="409"/>
      <c r="CC43" s="409"/>
      <c r="CD43" s="409"/>
      <c r="CE43" s="471">
        <v>114060</v>
      </c>
      <c r="CF43" s="471"/>
      <c r="CG43" s="471"/>
      <c r="CH43" s="471"/>
      <c r="CI43" s="471"/>
      <c r="CJ43" s="471"/>
      <c r="CK43" s="471"/>
      <c r="CL43" s="471"/>
      <c r="CM43" s="471"/>
      <c r="CN43" s="471"/>
      <c r="CO43" s="471"/>
      <c r="CP43" s="471"/>
      <c r="CQ43" s="471"/>
      <c r="CR43" s="471"/>
      <c r="CS43" s="471"/>
      <c r="CT43" s="471"/>
      <c r="CU43" s="471"/>
      <c r="CV43" s="471"/>
      <c r="CW43" s="471"/>
      <c r="CX43" s="471"/>
      <c r="CY43" s="471"/>
      <c r="CZ43" s="471"/>
      <c r="DA43" s="471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</row>
    <row r="44" spans="1:162" ht="10.5" customHeight="1">
      <c r="A44" s="407" t="s">
        <v>38</v>
      </c>
      <c r="B44" s="407"/>
      <c r="C44" s="407"/>
      <c r="D44" s="407"/>
      <c r="E44" s="407"/>
      <c r="F44" s="407"/>
      <c r="G44" s="407"/>
      <c r="H44" s="408" t="s">
        <v>356</v>
      </c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71">
        <v>253333333</v>
      </c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471"/>
      <c r="BT44" s="409">
        <v>1.5</v>
      </c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71">
        <f>BD44*1.5%</f>
        <v>3800000</v>
      </c>
      <c r="CF44" s="471"/>
      <c r="CG44" s="471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</row>
    <row r="45" spans="1:162" s="82" customFormat="1" ht="45" customHeight="1">
      <c r="A45" s="407" t="s">
        <v>357</v>
      </c>
      <c r="B45" s="407"/>
      <c r="C45" s="407"/>
      <c r="D45" s="407"/>
      <c r="E45" s="407"/>
      <c r="F45" s="407"/>
      <c r="G45" s="407"/>
      <c r="H45" s="434" t="s">
        <v>358</v>
      </c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6"/>
      <c r="BD45" s="471">
        <v>77272727.27</v>
      </c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09">
        <v>2.2</v>
      </c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71">
        <f>BD45*2.2%</f>
        <v>1700000</v>
      </c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</row>
    <row r="46" spans="1:162" s="83" customFormat="1" ht="12.75">
      <c r="A46" s="407" t="s">
        <v>320</v>
      </c>
      <c r="B46" s="407"/>
      <c r="C46" s="407"/>
      <c r="D46" s="407"/>
      <c r="E46" s="407"/>
      <c r="F46" s="407"/>
      <c r="G46" s="407"/>
      <c r="H46" s="434" t="s">
        <v>359</v>
      </c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6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71">
        <v>500000</v>
      </c>
      <c r="CF46" s="471"/>
      <c r="CG46" s="471"/>
      <c r="CH46" s="471"/>
      <c r="CI46" s="471"/>
      <c r="CJ46" s="471"/>
      <c r="CK46" s="471"/>
      <c r="CL46" s="471"/>
      <c r="CM46" s="471"/>
      <c r="CN46" s="471"/>
      <c r="CO46" s="471"/>
      <c r="CP46" s="471"/>
      <c r="CQ46" s="471"/>
      <c r="CR46" s="471"/>
      <c r="CS46" s="471"/>
      <c r="CT46" s="471"/>
      <c r="CU46" s="471"/>
      <c r="CV46" s="471"/>
      <c r="CW46" s="471"/>
      <c r="CX46" s="471"/>
      <c r="CY46" s="471"/>
      <c r="CZ46" s="471"/>
      <c r="DA46" s="471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</row>
    <row r="47" spans="1:105" s="84" customFormat="1" ht="15" customHeight="1">
      <c r="A47" s="407" t="s">
        <v>321</v>
      </c>
      <c r="B47" s="407"/>
      <c r="C47" s="407"/>
      <c r="D47" s="407"/>
      <c r="E47" s="407"/>
      <c r="F47" s="407"/>
      <c r="G47" s="407"/>
      <c r="H47" s="434" t="s">
        <v>360</v>
      </c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6"/>
      <c r="BD47" s="471"/>
      <c r="BE47" s="471"/>
      <c r="BF47" s="471"/>
      <c r="BG47" s="471"/>
      <c r="BH47" s="471"/>
      <c r="BI47" s="471"/>
      <c r="BJ47" s="471"/>
      <c r="BK47" s="471"/>
      <c r="BL47" s="471"/>
      <c r="BM47" s="471"/>
      <c r="BN47" s="471"/>
      <c r="BO47" s="471"/>
      <c r="BP47" s="471"/>
      <c r="BQ47" s="471"/>
      <c r="BR47" s="471"/>
      <c r="BS47" s="471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71">
        <v>136670</v>
      </c>
      <c r="CF47" s="471"/>
      <c r="CG47" s="471"/>
      <c r="CH47" s="471"/>
      <c r="CI47" s="471"/>
      <c r="CJ47" s="471"/>
      <c r="CK47" s="471"/>
      <c r="CL47" s="471"/>
      <c r="CM47" s="471"/>
      <c r="CN47" s="471"/>
      <c r="CO47" s="471"/>
      <c r="CP47" s="471"/>
      <c r="CQ47" s="471"/>
      <c r="CR47" s="471"/>
      <c r="CS47" s="471"/>
      <c r="CT47" s="471"/>
      <c r="CU47" s="471"/>
      <c r="CV47" s="471"/>
      <c r="CW47" s="471"/>
      <c r="CX47" s="471"/>
      <c r="CY47" s="471"/>
      <c r="CZ47" s="471"/>
      <c r="DA47" s="471"/>
    </row>
    <row r="48" spans="1:105" s="84" customFormat="1" ht="15" customHeight="1">
      <c r="A48" s="407" t="s">
        <v>321</v>
      </c>
      <c r="B48" s="407"/>
      <c r="C48" s="407"/>
      <c r="D48" s="407"/>
      <c r="E48" s="407"/>
      <c r="F48" s="407"/>
      <c r="G48" s="407"/>
      <c r="H48" s="434" t="s">
        <v>361</v>
      </c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6"/>
      <c r="BD48" s="471"/>
      <c r="BE48" s="471"/>
      <c r="BF48" s="471"/>
      <c r="BG48" s="471"/>
      <c r="BH48" s="471"/>
      <c r="BI48" s="471"/>
      <c r="BJ48" s="471"/>
      <c r="BK48" s="471"/>
      <c r="BL48" s="471"/>
      <c r="BM48" s="471"/>
      <c r="BN48" s="471"/>
      <c r="BO48" s="471"/>
      <c r="BP48" s="471"/>
      <c r="BQ48" s="471"/>
      <c r="BR48" s="471"/>
      <c r="BS48" s="471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71">
        <v>600000</v>
      </c>
      <c r="CF48" s="471"/>
      <c r="CG48" s="471"/>
      <c r="CH48" s="471"/>
      <c r="CI48" s="471"/>
      <c r="CJ48" s="471"/>
      <c r="CK48" s="471"/>
      <c r="CL48" s="471"/>
      <c r="CM48" s="471"/>
      <c r="CN48" s="471"/>
      <c r="CO48" s="471"/>
      <c r="CP48" s="471"/>
      <c r="CQ48" s="471"/>
      <c r="CR48" s="471"/>
      <c r="CS48" s="471"/>
      <c r="CT48" s="471"/>
      <c r="CU48" s="471"/>
      <c r="CV48" s="471"/>
      <c r="CW48" s="471"/>
      <c r="CX48" s="471"/>
      <c r="CY48" s="471"/>
      <c r="CZ48" s="471"/>
      <c r="DA48" s="471"/>
    </row>
    <row r="49" spans="1:105" s="84" customFormat="1" ht="15" customHeight="1">
      <c r="A49" s="407"/>
      <c r="B49" s="407"/>
      <c r="C49" s="407"/>
      <c r="D49" s="407"/>
      <c r="E49" s="407"/>
      <c r="F49" s="407"/>
      <c r="G49" s="407"/>
      <c r="H49" s="184" t="s">
        <v>233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6"/>
      <c r="BD49" s="409"/>
      <c r="BE49" s="409"/>
      <c r="BF49" s="409"/>
      <c r="BG49" s="409"/>
      <c r="BH49" s="409"/>
      <c r="BI49" s="409"/>
      <c r="BJ49" s="409"/>
      <c r="BK49" s="409"/>
      <c r="BL49" s="409"/>
      <c r="BM49" s="409"/>
      <c r="BN49" s="409"/>
      <c r="BO49" s="409"/>
      <c r="BP49" s="409"/>
      <c r="BQ49" s="409"/>
      <c r="BR49" s="409"/>
      <c r="BS49" s="409"/>
      <c r="BT49" s="409" t="s">
        <v>234</v>
      </c>
      <c r="BU49" s="409"/>
      <c r="BV49" s="409"/>
      <c r="BW49" s="409"/>
      <c r="BX49" s="409"/>
      <c r="BY49" s="409"/>
      <c r="BZ49" s="409"/>
      <c r="CA49" s="409"/>
      <c r="CB49" s="409"/>
      <c r="CC49" s="409"/>
      <c r="CD49" s="409"/>
      <c r="CE49" s="490">
        <f>SUM(CE42:CE48)</f>
        <v>6980000</v>
      </c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  <c r="CY49" s="490"/>
      <c r="CZ49" s="490"/>
      <c r="DA49" s="490"/>
    </row>
    <row r="50" spans="1:162" s="86" customFormat="1" ht="12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</row>
    <row r="51" spans="1:162" ht="24.75" customHeight="1">
      <c r="A51" s="199" t="s">
        <v>573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</row>
    <row r="52" spans="1:105" s="80" customFormat="1" ht="24" customHeight="1">
      <c r="A52" s="80" t="s">
        <v>221</v>
      </c>
      <c r="X52" s="430" t="s">
        <v>117</v>
      </c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0"/>
      <c r="BW52" s="430"/>
      <c r="BX52" s="430"/>
      <c r="BY52" s="430"/>
      <c r="BZ52" s="430"/>
      <c r="CA52" s="430"/>
      <c r="CB52" s="430"/>
      <c r="CC52" s="430"/>
      <c r="CD52" s="430"/>
      <c r="CE52" s="430"/>
      <c r="CF52" s="430"/>
      <c r="CG52" s="430"/>
      <c r="CH52" s="430"/>
      <c r="CI52" s="430"/>
      <c r="CJ52" s="430"/>
      <c r="CK52" s="430"/>
      <c r="CL52" s="430"/>
      <c r="CM52" s="430"/>
      <c r="CN52" s="430"/>
      <c r="CO52" s="430"/>
      <c r="CP52" s="430"/>
      <c r="CQ52" s="430"/>
      <c r="CR52" s="430"/>
      <c r="CS52" s="430"/>
      <c r="CT52" s="430"/>
      <c r="CU52" s="430"/>
      <c r="CV52" s="430"/>
      <c r="CW52" s="430"/>
      <c r="CX52" s="430"/>
      <c r="CY52" s="430"/>
      <c r="CZ52" s="430"/>
      <c r="DA52" s="430"/>
    </row>
    <row r="53" spans="24:162" s="80" customFormat="1" ht="15"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</row>
    <row r="54" spans="1:162" ht="17.25" customHeight="1">
      <c r="A54" s="431" t="s">
        <v>222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47" t="s">
        <v>318</v>
      </c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  <c r="BB54" s="447"/>
      <c r="BC54" s="447"/>
      <c r="BD54" s="447"/>
      <c r="BE54" s="447"/>
      <c r="BF54" s="447"/>
      <c r="BG54" s="447"/>
      <c r="BH54" s="447"/>
      <c r="BI54" s="447"/>
      <c r="BJ54" s="447"/>
      <c r="BK54" s="447"/>
      <c r="BL54" s="447"/>
      <c r="BM54" s="447"/>
      <c r="BN54" s="447"/>
      <c r="BO54" s="447"/>
      <c r="BP54" s="447"/>
      <c r="BQ54" s="447"/>
      <c r="BR54" s="447"/>
      <c r="BS54" s="447"/>
      <c r="BT54" s="447"/>
      <c r="BU54" s="447"/>
      <c r="BV54" s="447"/>
      <c r="BW54" s="447"/>
      <c r="BX54" s="447"/>
      <c r="BY54" s="447"/>
      <c r="BZ54" s="447"/>
      <c r="CA54" s="447"/>
      <c r="CB54" s="447"/>
      <c r="CC54" s="447"/>
      <c r="CD54" s="447"/>
      <c r="CE54" s="447"/>
      <c r="CF54" s="447"/>
      <c r="CG54" s="447"/>
      <c r="CH54" s="447"/>
      <c r="CI54" s="447"/>
      <c r="CJ54" s="447"/>
      <c r="CK54" s="447"/>
      <c r="CL54" s="447"/>
      <c r="CM54" s="447"/>
      <c r="CN54" s="447"/>
      <c r="CO54" s="447"/>
      <c r="CP54" s="447"/>
      <c r="CQ54" s="447"/>
      <c r="CR54" s="447"/>
      <c r="CS54" s="447"/>
      <c r="CT54" s="447"/>
      <c r="CU54" s="447"/>
      <c r="CV54" s="447"/>
      <c r="CW54" s="447"/>
      <c r="CX54" s="447"/>
      <c r="CY54" s="447"/>
      <c r="CZ54" s="447"/>
      <c r="DA54" s="447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</row>
    <row r="55" spans="1:162" s="82" customFormat="1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</row>
    <row r="56" spans="1:162" s="83" customFormat="1" ht="14.25">
      <c r="A56" s="199" t="s">
        <v>280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</row>
    <row r="57" spans="1:105" s="84" customFormat="1" ht="1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</row>
    <row r="58" spans="1:105" s="84" customFormat="1" ht="32.25" customHeight="1">
      <c r="A58" s="201" t="s">
        <v>192</v>
      </c>
      <c r="B58" s="202"/>
      <c r="C58" s="202"/>
      <c r="D58" s="202"/>
      <c r="E58" s="202"/>
      <c r="F58" s="202"/>
      <c r="G58" s="203"/>
      <c r="H58" s="201" t="s">
        <v>273</v>
      </c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3"/>
      <c r="AP58" s="201" t="s">
        <v>362</v>
      </c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  <c r="BF58" s="201" t="s">
        <v>282</v>
      </c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3"/>
      <c r="BV58" s="201" t="s">
        <v>283</v>
      </c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3"/>
      <c r="CL58" s="201" t="s">
        <v>240</v>
      </c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3"/>
    </row>
    <row r="59" spans="1:162" s="84" customFormat="1" ht="15" customHeight="1">
      <c r="A59" s="416">
        <v>1</v>
      </c>
      <c r="B59" s="416"/>
      <c r="C59" s="416"/>
      <c r="D59" s="416"/>
      <c r="E59" s="416"/>
      <c r="F59" s="416"/>
      <c r="G59" s="416"/>
      <c r="H59" s="196">
        <v>2</v>
      </c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8"/>
      <c r="AP59" s="416">
        <v>3</v>
      </c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>
        <v>4</v>
      </c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>
        <v>5</v>
      </c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>
        <v>6</v>
      </c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6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</row>
    <row r="60" spans="1:162" ht="12" customHeight="1">
      <c r="A60" s="407" t="s">
        <v>169</v>
      </c>
      <c r="B60" s="407"/>
      <c r="C60" s="407"/>
      <c r="D60" s="407"/>
      <c r="E60" s="407"/>
      <c r="F60" s="407"/>
      <c r="G60" s="407"/>
      <c r="H60" s="434" t="s">
        <v>363</v>
      </c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6"/>
      <c r="AP60" s="409">
        <v>52</v>
      </c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/>
      <c r="BE60" s="409"/>
      <c r="BF60" s="409">
        <v>12</v>
      </c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/>
      <c r="BU60" s="409"/>
      <c r="BV60" s="499">
        <v>210.95</v>
      </c>
      <c r="BW60" s="499"/>
      <c r="BX60" s="499"/>
      <c r="BY60" s="499"/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499"/>
      <c r="CK60" s="499"/>
      <c r="CL60" s="471">
        <f>AP60*BF60*BV60</f>
        <v>131632.8</v>
      </c>
      <c r="CM60" s="471"/>
      <c r="CN60" s="471"/>
      <c r="CO60" s="471"/>
      <c r="CP60" s="471"/>
      <c r="CQ60" s="471"/>
      <c r="CR60" s="471"/>
      <c r="CS60" s="471"/>
      <c r="CT60" s="471"/>
      <c r="CU60" s="471"/>
      <c r="CV60" s="471"/>
      <c r="CW60" s="471"/>
      <c r="CX60" s="471"/>
      <c r="CY60" s="471"/>
      <c r="CZ60" s="471"/>
      <c r="DA60" s="471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05" s="80" customFormat="1" ht="14.25">
      <c r="A61" s="407" t="s">
        <v>37</v>
      </c>
      <c r="B61" s="407"/>
      <c r="C61" s="407"/>
      <c r="D61" s="407"/>
      <c r="E61" s="407"/>
      <c r="F61" s="407"/>
      <c r="G61" s="407"/>
      <c r="H61" s="434" t="s">
        <v>364</v>
      </c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6"/>
      <c r="AP61" s="409">
        <v>52</v>
      </c>
      <c r="AQ61" s="409"/>
      <c r="AR61" s="409"/>
      <c r="AS61" s="409"/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>
        <v>12</v>
      </c>
      <c r="BG61" s="409"/>
      <c r="BH61" s="409"/>
      <c r="BI61" s="409"/>
      <c r="BJ61" s="409"/>
      <c r="BK61" s="409"/>
      <c r="BL61" s="409"/>
      <c r="BM61" s="409"/>
      <c r="BN61" s="409"/>
      <c r="BO61" s="409"/>
      <c r="BP61" s="409"/>
      <c r="BQ61" s="409"/>
      <c r="BR61" s="409"/>
      <c r="BS61" s="409"/>
      <c r="BT61" s="409"/>
      <c r="BU61" s="409"/>
      <c r="BV61" s="499">
        <v>61</v>
      </c>
      <c r="BW61" s="499"/>
      <c r="BX61" s="499"/>
      <c r="BY61" s="499"/>
      <c r="BZ61" s="499"/>
      <c r="CA61" s="499"/>
      <c r="CB61" s="499"/>
      <c r="CC61" s="499"/>
      <c r="CD61" s="499"/>
      <c r="CE61" s="499"/>
      <c r="CF61" s="499"/>
      <c r="CG61" s="499"/>
      <c r="CH61" s="499"/>
      <c r="CI61" s="499"/>
      <c r="CJ61" s="499"/>
      <c r="CK61" s="499"/>
      <c r="CL61" s="471">
        <f>AP61*BF61*BV61-21569.98</f>
        <v>16494.02</v>
      </c>
      <c r="CM61" s="471"/>
      <c r="CN61" s="471"/>
      <c r="CO61" s="471"/>
      <c r="CP61" s="471"/>
      <c r="CQ61" s="471"/>
      <c r="CR61" s="471"/>
      <c r="CS61" s="471"/>
      <c r="CT61" s="471"/>
      <c r="CU61" s="471"/>
      <c r="CV61" s="471"/>
      <c r="CW61" s="471"/>
      <c r="CX61" s="471"/>
      <c r="CY61" s="471"/>
      <c r="CZ61" s="471"/>
      <c r="DA61" s="471"/>
    </row>
    <row r="62" spans="1:162" ht="19.5" customHeight="1">
      <c r="A62" s="407" t="s">
        <v>38</v>
      </c>
      <c r="B62" s="407"/>
      <c r="C62" s="407"/>
      <c r="D62" s="407"/>
      <c r="E62" s="407"/>
      <c r="F62" s="407"/>
      <c r="G62" s="407"/>
      <c r="H62" s="434" t="s">
        <v>365</v>
      </c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6"/>
      <c r="AP62" s="471">
        <v>22000</v>
      </c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09">
        <v>12</v>
      </c>
      <c r="BG62" s="409"/>
      <c r="BH62" s="409"/>
      <c r="BI62" s="409"/>
      <c r="BJ62" s="409"/>
      <c r="BK62" s="409"/>
      <c r="BL62" s="409"/>
      <c r="BM62" s="409"/>
      <c r="BN62" s="409"/>
      <c r="BO62" s="409"/>
      <c r="BP62" s="409"/>
      <c r="BQ62" s="409"/>
      <c r="BR62" s="409"/>
      <c r="BS62" s="409"/>
      <c r="BT62" s="409"/>
      <c r="BU62" s="409"/>
      <c r="BV62" s="499">
        <v>2.1</v>
      </c>
      <c r="BW62" s="499"/>
      <c r="BX62" s="499"/>
      <c r="BY62" s="499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499"/>
      <c r="CK62" s="499"/>
      <c r="CL62" s="471">
        <f>AP62*BF62*BV62-21569.98</f>
        <v>532830.02</v>
      </c>
      <c r="CM62" s="471"/>
      <c r="CN62" s="471"/>
      <c r="CO62" s="471"/>
      <c r="CP62" s="471"/>
      <c r="CQ62" s="471"/>
      <c r="CR62" s="471"/>
      <c r="CS62" s="471"/>
      <c r="CT62" s="471"/>
      <c r="CU62" s="471"/>
      <c r="CV62" s="471"/>
      <c r="CW62" s="471"/>
      <c r="CX62" s="471"/>
      <c r="CY62" s="471"/>
      <c r="CZ62" s="471"/>
      <c r="DA62" s="471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05" s="80" customFormat="1" ht="29.25" customHeight="1">
      <c r="A63" s="407" t="s">
        <v>319</v>
      </c>
      <c r="B63" s="407"/>
      <c r="C63" s="407"/>
      <c r="D63" s="407"/>
      <c r="E63" s="407"/>
      <c r="F63" s="407"/>
      <c r="G63" s="407"/>
      <c r="H63" s="434" t="s">
        <v>366</v>
      </c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6"/>
      <c r="AP63" s="409">
        <v>54</v>
      </c>
      <c r="AQ63" s="409"/>
      <c r="AR63" s="409"/>
      <c r="AS63" s="409"/>
      <c r="AT63" s="409"/>
      <c r="AU63" s="409"/>
      <c r="AV63" s="409"/>
      <c r="AW63" s="409"/>
      <c r="AX63" s="409"/>
      <c r="AY63" s="409"/>
      <c r="AZ63" s="409"/>
      <c r="BA63" s="409"/>
      <c r="BB63" s="409"/>
      <c r="BC63" s="409"/>
      <c r="BD63" s="409"/>
      <c r="BE63" s="409"/>
      <c r="BF63" s="409">
        <v>12</v>
      </c>
      <c r="BG63" s="409"/>
      <c r="BH63" s="409"/>
      <c r="BI63" s="409"/>
      <c r="BJ63" s="409"/>
      <c r="BK63" s="409"/>
      <c r="BL63" s="409"/>
      <c r="BM63" s="409"/>
      <c r="BN63" s="409"/>
      <c r="BO63" s="409"/>
      <c r="BP63" s="409"/>
      <c r="BQ63" s="409"/>
      <c r="BR63" s="409"/>
      <c r="BS63" s="409"/>
      <c r="BT63" s="409"/>
      <c r="BU63" s="409"/>
      <c r="BV63" s="500">
        <v>814.8</v>
      </c>
      <c r="BW63" s="500"/>
      <c r="BX63" s="500"/>
      <c r="BY63" s="500"/>
      <c r="BZ63" s="500"/>
      <c r="CA63" s="500"/>
      <c r="CB63" s="500"/>
      <c r="CC63" s="500"/>
      <c r="CD63" s="500"/>
      <c r="CE63" s="500"/>
      <c r="CF63" s="500"/>
      <c r="CG63" s="500"/>
      <c r="CH63" s="500"/>
      <c r="CI63" s="500"/>
      <c r="CJ63" s="500"/>
      <c r="CK63" s="500"/>
      <c r="CL63" s="471">
        <f>AP63*BF63*BV63-21569.98</f>
        <v>506420.42</v>
      </c>
      <c r="CM63" s="471"/>
      <c r="CN63" s="471"/>
      <c r="CO63" s="471"/>
      <c r="CP63" s="471"/>
      <c r="CQ63" s="471"/>
      <c r="CR63" s="471"/>
      <c r="CS63" s="471"/>
      <c r="CT63" s="471"/>
      <c r="CU63" s="471"/>
      <c r="CV63" s="471"/>
      <c r="CW63" s="471"/>
      <c r="CX63" s="471"/>
      <c r="CY63" s="471"/>
      <c r="CZ63" s="471"/>
      <c r="DA63" s="471"/>
    </row>
    <row r="64" spans="1:105" s="80" customFormat="1" ht="23.25" customHeight="1">
      <c r="A64" s="407" t="s">
        <v>320</v>
      </c>
      <c r="B64" s="407"/>
      <c r="C64" s="407"/>
      <c r="D64" s="407"/>
      <c r="E64" s="407"/>
      <c r="F64" s="407"/>
      <c r="G64" s="407"/>
      <c r="H64" s="434" t="s">
        <v>367</v>
      </c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6"/>
      <c r="AP64" s="409">
        <v>1</v>
      </c>
      <c r="AQ64" s="409"/>
      <c r="AR64" s="409"/>
      <c r="AS64" s="409"/>
      <c r="AT64" s="409"/>
      <c r="AU64" s="409"/>
      <c r="AV64" s="409"/>
      <c r="AW64" s="409"/>
      <c r="AX64" s="409"/>
      <c r="AY64" s="409"/>
      <c r="AZ64" s="409"/>
      <c r="BA64" s="409"/>
      <c r="BB64" s="409"/>
      <c r="BC64" s="409"/>
      <c r="BD64" s="409"/>
      <c r="BE64" s="409"/>
      <c r="BF64" s="409">
        <v>12</v>
      </c>
      <c r="BG64" s="409"/>
      <c r="BH64" s="409"/>
      <c r="BI64" s="409"/>
      <c r="BJ64" s="409"/>
      <c r="BK64" s="409"/>
      <c r="BL64" s="409"/>
      <c r="BM64" s="409"/>
      <c r="BN64" s="409"/>
      <c r="BO64" s="409"/>
      <c r="BP64" s="409"/>
      <c r="BQ64" s="409"/>
      <c r="BR64" s="409"/>
      <c r="BS64" s="409"/>
      <c r="BT64" s="409"/>
      <c r="BU64" s="409"/>
      <c r="BV64" s="500">
        <v>46666.66</v>
      </c>
      <c r="BW64" s="500"/>
      <c r="BX64" s="500"/>
      <c r="BY64" s="500"/>
      <c r="BZ64" s="500"/>
      <c r="CA64" s="500"/>
      <c r="CB64" s="500"/>
      <c r="CC64" s="500"/>
      <c r="CD64" s="500"/>
      <c r="CE64" s="500"/>
      <c r="CF64" s="500"/>
      <c r="CG64" s="500"/>
      <c r="CH64" s="500"/>
      <c r="CI64" s="500"/>
      <c r="CJ64" s="500"/>
      <c r="CK64" s="500"/>
      <c r="CL64" s="471">
        <f>AP64*BF64*BV64</f>
        <v>559999.92</v>
      </c>
      <c r="CM64" s="471"/>
      <c r="CN64" s="471"/>
      <c r="CO64" s="471"/>
      <c r="CP64" s="471"/>
      <c r="CQ64" s="471"/>
      <c r="CR64" s="471"/>
      <c r="CS64" s="471"/>
      <c r="CT64" s="471"/>
      <c r="CU64" s="471"/>
      <c r="CV64" s="471"/>
      <c r="CW64" s="471"/>
      <c r="CX64" s="471"/>
      <c r="CY64" s="471"/>
      <c r="CZ64" s="471"/>
      <c r="DA64" s="471"/>
    </row>
    <row r="65" spans="1:105" s="80" customFormat="1" ht="14.25">
      <c r="A65" s="407" t="s">
        <v>321</v>
      </c>
      <c r="B65" s="407"/>
      <c r="C65" s="407"/>
      <c r="D65" s="407"/>
      <c r="E65" s="407"/>
      <c r="F65" s="407"/>
      <c r="G65" s="407"/>
      <c r="H65" s="434" t="s">
        <v>368</v>
      </c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6"/>
      <c r="AP65" s="409">
        <v>1</v>
      </c>
      <c r="AQ65" s="409"/>
      <c r="AR65" s="409"/>
      <c r="AS65" s="409"/>
      <c r="AT65" s="409"/>
      <c r="AU65" s="409"/>
      <c r="AV65" s="409"/>
      <c r="AW65" s="409"/>
      <c r="AX65" s="409"/>
      <c r="AY65" s="409"/>
      <c r="AZ65" s="409"/>
      <c r="BA65" s="409"/>
      <c r="BB65" s="409"/>
      <c r="BC65" s="409"/>
      <c r="BD65" s="409"/>
      <c r="BE65" s="409"/>
      <c r="BF65" s="409">
        <v>12</v>
      </c>
      <c r="BG65" s="409"/>
      <c r="BH65" s="409"/>
      <c r="BI65" s="409"/>
      <c r="BJ65" s="409"/>
      <c r="BK65" s="409"/>
      <c r="BL65" s="409"/>
      <c r="BM65" s="409"/>
      <c r="BN65" s="409"/>
      <c r="BO65" s="409"/>
      <c r="BP65" s="409"/>
      <c r="BQ65" s="409"/>
      <c r="BR65" s="409"/>
      <c r="BS65" s="409"/>
      <c r="BT65" s="409"/>
      <c r="BU65" s="409"/>
      <c r="BV65" s="500">
        <v>13500</v>
      </c>
      <c r="BW65" s="500"/>
      <c r="BX65" s="500"/>
      <c r="BY65" s="500"/>
      <c r="BZ65" s="500"/>
      <c r="CA65" s="500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471">
        <f>AP65*BF65*BV65</f>
        <v>162000</v>
      </c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471"/>
      <c r="CY65" s="471"/>
      <c r="CZ65" s="471"/>
      <c r="DA65" s="471"/>
    </row>
    <row r="66" spans="1:162" ht="16.5" customHeight="1">
      <c r="A66" s="407" t="s">
        <v>322</v>
      </c>
      <c r="B66" s="407"/>
      <c r="C66" s="407"/>
      <c r="D66" s="407"/>
      <c r="E66" s="407"/>
      <c r="F66" s="407"/>
      <c r="G66" s="407"/>
      <c r="H66" s="434" t="s">
        <v>369</v>
      </c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35"/>
      <c r="AL66" s="435"/>
      <c r="AM66" s="435"/>
      <c r="AN66" s="435"/>
      <c r="AO66" s="436"/>
      <c r="AP66" s="409">
        <v>120</v>
      </c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>
        <v>12</v>
      </c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409"/>
      <c r="BS66" s="409"/>
      <c r="BT66" s="409"/>
      <c r="BU66" s="409"/>
      <c r="BV66" s="500">
        <v>123.17</v>
      </c>
      <c r="BW66" s="500"/>
      <c r="BX66" s="500"/>
      <c r="BY66" s="500"/>
      <c r="BZ66" s="500"/>
      <c r="CA66" s="500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471">
        <f>AP66*BF66*BV66</f>
        <v>177364.8</v>
      </c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1"/>
      <c r="CX66" s="471"/>
      <c r="CY66" s="471"/>
      <c r="CZ66" s="471"/>
      <c r="DA66" s="471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</row>
    <row r="67" spans="1:162" s="80" customFormat="1" ht="26.25" customHeight="1">
      <c r="A67" s="407" t="s">
        <v>323</v>
      </c>
      <c r="B67" s="407"/>
      <c r="C67" s="407"/>
      <c r="D67" s="407"/>
      <c r="E67" s="407"/>
      <c r="F67" s="407"/>
      <c r="G67" s="407"/>
      <c r="H67" s="434" t="s">
        <v>370</v>
      </c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5"/>
      <c r="AM67" s="435"/>
      <c r="AN67" s="435"/>
      <c r="AO67" s="436"/>
      <c r="AP67" s="409">
        <v>1</v>
      </c>
      <c r="AQ67" s="409"/>
      <c r="AR67" s="409"/>
      <c r="AS67" s="409"/>
      <c r="AT67" s="409"/>
      <c r="AU67" s="409"/>
      <c r="AV67" s="409"/>
      <c r="AW67" s="409"/>
      <c r="AX67" s="409"/>
      <c r="AY67" s="409"/>
      <c r="AZ67" s="409"/>
      <c r="BA67" s="409"/>
      <c r="BB67" s="409"/>
      <c r="BC67" s="409"/>
      <c r="BD67" s="409"/>
      <c r="BE67" s="409"/>
      <c r="BF67" s="409">
        <v>12</v>
      </c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  <c r="BQ67" s="409"/>
      <c r="BR67" s="409"/>
      <c r="BS67" s="409"/>
      <c r="BT67" s="409"/>
      <c r="BU67" s="409"/>
      <c r="BV67" s="500">
        <v>1104.84</v>
      </c>
      <c r="BW67" s="500"/>
      <c r="BX67" s="500"/>
      <c r="BY67" s="500"/>
      <c r="BZ67" s="500"/>
      <c r="CA67" s="500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471">
        <f>AP67*BF67*BV67-0.06</f>
        <v>13258.02</v>
      </c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</row>
    <row r="68" spans="1:162" ht="10.5" customHeight="1">
      <c r="A68" s="407"/>
      <c r="B68" s="407"/>
      <c r="C68" s="407"/>
      <c r="D68" s="407"/>
      <c r="E68" s="407"/>
      <c r="F68" s="407"/>
      <c r="G68" s="407"/>
      <c r="H68" s="477" t="s">
        <v>284</v>
      </c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8"/>
      <c r="AK68" s="478"/>
      <c r="AL68" s="478"/>
      <c r="AM68" s="478"/>
      <c r="AN68" s="478"/>
      <c r="AO68" s="479"/>
      <c r="AP68" s="409" t="s">
        <v>234</v>
      </c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409"/>
      <c r="BC68" s="409"/>
      <c r="BD68" s="409"/>
      <c r="BE68" s="409"/>
      <c r="BF68" s="409" t="s">
        <v>234</v>
      </c>
      <c r="BG68" s="409"/>
      <c r="BH68" s="409"/>
      <c r="BI68" s="409"/>
      <c r="BJ68" s="409"/>
      <c r="BK68" s="409"/>
      <c r="BL68" s="409"/>
      <c r="BM68" s="409"/>
      <c r="BN68" s="409"/>
      <c r="BO68" s="409"/>
      <c r="BP68" s="409"/>
      <c r="BQ68" s="409"/>
      <c r="BR68" s="409"/>
      <c r="BS68" s="409"/>
      <c r="BT68" s="409"/>
      <c r="BU68" s="409"/>
      <c r="BV68" s="409" t="s">
        <v>234</v>
      </c>
      <c r="BW68" s="409"/>
      <c r="BX68" s="409"/>
      <c r="BY68" s="409"/>
      <c r="BZ68" s="409"/>
      <c r="CA68" s="409"/>
      <c r="CB68" s="409"/>
      <c r="CC68" s="409"/>
      <c r="CD68" s="409"/>
      <c r="CE68" s="409"/>
      <c r="CF68" s="409"/>
      <c r="CG68" s="409"/>
      <c r="CH68" s="409"/>
      <c r="CI68" s="409"/>
      <c r="CJ68" s="409"/>
      <c r="CK68" s="409"/>
      <c r="CL68" s="490">
        <f>SUM(CL60:CL67)</f>
        <v>2100000</v>
      </c>
      <c r="CM68" s="490"/>
      <c r="CN68" s="490"/>
      <c r="CO68" s="490"/>
      <c r="CP68" s="490"/>
      <c r="CQ68" s="490"/>
      <c r="CR68" s="490"/>
      <c r="CS68" s="490"/>
      <c r="CT68" s="490"/>
      <c r="CU68" s="490"/>
      <c r="CV68" s="490"/>
      <c r="CW68" s="490"/>
      <c r="CX68" s="490"/>
      <c r="CY68" s="490"/>
      <c r="CZ68" s="490"/>
      <c r="DA68" s="49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</row>
    <row r="69" spans="1:162" s="82" customFormat="1" ht="19.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</row>
    <row r="70" spans="1:162" s="83" customFormat="1" ht="14.25">
      <c r="A70" s="199" t="s">
        <v>371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</row>
    <row r="71" spans="1:105" s="84" customFormat="1" ht="1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</row>
    <row r="72" spans="1:105" s="84" customFormat="1" ht="49.5" customHeight="1">
      <c r="A72" s="419" t="s">
        <v>192</v>
      </c>
      <c r="B72" s="420"/>
      <c r="C72" s="420"/>
      <c r="D72" s="420"/>
      <c r="E72" s="420"/>
      <c r="F72" s="420"/>
      <c r="G72" s="421"/>
      <c r="H72" s="201" t="s">
        <v>273</v>
      </c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3"/>
      <c r="BD72" s="419" t="s">
        <v>286</v>
      </c>
      <c r="BE72" s="420"/>
      <c r="BF72" s="420"/>
      <c r="BG72" s="420"/>
      <c r="BH72" s="420"/>
      <c r="BI72" s="420"/>
      <c r="BJ72" s="420"/>
      <c r="BK72" s="420"/>
      <c r="BL72" s="420"/>
      <c r="BM72" s="420"/>
      <c r="BN72" s="420"/>
      <c r="BO72" s="420"/>
      <c r="BP72" s="420"/>
      <c r="BQ72" s="420"/>
      <c r="BR72" s="420"/>
      <c r="BS72" s="421"/>
      <c r="BT72" s="419" t="s">
        <v>287</v>
      </c>
      <c r="BU72" s="420"/>
      <c r="BV72" s="420"/>
      <c r="BW72" s="420"/>
      <c r="BX72" s="420"/>
      <c r="BY72" s="420"/>
      <c r="BZ72" s="420"/>
      <c r="CA72" s="420"/>
      <c r="CB72" s="420"/>
      <c r="CC72" s="420"/>
      <c r="CD72" s="420"/>
      <c r="CE72" s="420"/>
      <c r="CF72" s="420"/>
      <c r="CG72" s="420"/>
      <c r="CH72" s="420"/>
      <c r="CI72" s="421"/>
      <c r="CJ72" s="419" t="s">
        <v>288</v>
      </c>
      <c r="CK72" s="420"/>
      <c r="CL72" s="420"/>
      <c r="CM72" s="420"/>
      <c r="CN72" s="420"/>
      <c r="CO72" s="420"/>
      <c r="CP72" s="420"/>
      <c r="CQ72" s="420"/>
      <c r="CR72" s="420"/>
      <c r="CS72" s="420"/>
      <c r="CT72" s="420"/>
      <c r="CU72" s="420"/>
      <c r="CV72" s="420"/>
      <c r="CW72" s="420"/>
      <c r="CX72" s="420"/>
      <c r="CY72" s="420"/>
      <c r="CZ72" s="420"/>
      <c r="DA72" s="421"/>
    </row>
    <row r="73" spans="1:162" s="84" customFormat="1" ht="15" customHeight="1">
      <c r="A73" s="416">
        <v>1</v>
      </c>
      <c r="B73" s="416"/>
      <c r="C73" s="416"/>
      <c r="D73" s="416"/>
      <c r="E73" s="416"/>
      <c r="F73" s="416"/>
      <c r="G73" s="416"/>
      <c r="H73" s="196">
        <v>2</v>
      </c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8"/>
      <c r="BD73" s="416">
        <v>3</v>
      </c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>
        <v>4</v>
      </c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416"/>
      <c r="CJ73" s="416">
        <v>5</v>
      </c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416"/>
      <c r="CZ73" s="416"/>
      <c r="DA73" s="416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</row>
    <row r="74" spans="1:162" ht="10.5" customHeight="1">
      <c r="A74" s="407" t="s">
        <v>169</v>
      </c>
      <c r="B74" s="407"/>
      <c r="C74" s="407"/>
      <c r="D74" s="407"/>
      <c r="E74" s="407"/>
      <c r="F74" s="407"/>
      <c r="G74" s="407"/>
      <c r="H74" s="434" t="s">
        <v>372</v>
      </c>
      <c r="I74" s="435"/>
      <c r="J74" s="435"/>
      <c r="K74" s="435"/>
      <c r="L74" s="435"/>
      <c r="M74" s="435"/>
      <c r="N74" s="435"/>
      <c r="O74" s="435"/>
      <c r="P74" s="435"/>
      <c r="Q74" s="435"/>
      <c r="R74" s="435"/>
      <c r="S74" s="435"/>
      <c r="T74" s="435"/>
      <c r="U74" s="435"/>
      <c r="V74" s="435"/>
      <c r="W74" s="435"/>
      <c r="X74" s="435"/>
      <c r="Y74" s="435"/>
      <c r="Z74" s="435"/>
      <c r="AA74" s="435"/>
      <c r="AB74" s="435"/>
      <c r="AC74" s="435"/>
      <c r="AD74" s="435"/>
      <c r="AE74" s="435"/>
      <c r="AF74" s="435"/>
      <c r="AG74" s="435"/>
      <c r="AH74" s="435"/>
      <c r="AI74" s="435"/>
      <c r="AJ74" s="435"/>
      <c r="AK74" s="435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  <c r="AW74" s="435"/>
      <c r="AX74" s="435"/>
      <c r="AY74" s="435"/>
      <c r="AZ74" s="435"/>
      <c r="BA74" s="435"/>
      <c r="BB74" s="435"/>
      <c r="BC74" s="436"/>
      <c r="BD74" s="471">
        <v>1</v>
      </c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>
        <v>100000</v>
      </c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>
        <f>BD74*BT74</f>
        <v>100000</v>
      </c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1"/>
      <c r="CX74" s="471"/>
      <c r="CY74" s="471"/>
      <c r="CZ74" s="471"/>
      <c r="DA74" s="471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</row>
    <row r="75" spans="1:162" s="80" customFormat="1" ht="15">
      <c r="A75" s="407"/>
      <c r="B75" s="407"/>
      <c r="C75" s="407"/>
      <c r="D75" s="407"/>
      <c r="E75" s="407"/>
      <c r="F75" s="407"/>
      <c r="G75" s="407"/>
      <c r="H75" s="434"/>
      <c r="I75" s="435"/>
      <c r="J75" s="435"/>
      <c r="K75" s="435"/>
      <c r="L75" s="435"/>
      <c r="M75" s="435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  <c r="AW75" s="435"/>
      <c r="AX75" s="435"/>
      <c r="AY75" s="435"/>
      <c r="AZ75" s="435"/>
      <c r="BA75" s="435"/>
      <c r="BB75" s="435"/>
      <c r="BC75" s="436"/>
      <c r="BD75" s="409"/>
      <c r="BE75" s="409"/>
      <c r="BF75" s="409"/>
      <c r="BG75" s="409"/>
      <c r="BH75" s="409"/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  <c r="BS75" s="409"/>
      <c r="BT75" s="409"/>
      <c r="BU75" s="409"/>
      <c r="BV75" s="409"/>
      <c r="BW75" s="409"/>
      <c r="BX75" s="409"/>
      <c r="BY75" s="409"/>
      <c r="BZ75" s="409"/>
      <c r="CA75" s="409"/>
      <c r="CB75" s="409"/>
      <c r="CC75" s="409"/>
      <c r="CD75" s="409"/>
      <c r="CE75" s="409"/>
      <c r="CF75" s="409"/>
      <c r="CG75" s="409"/>
      <c r="CH75" s="409"/>
      <c r="CI75" s="409"/>
      <c r="CJ75" s="409"/>
      <c r="CK75" s="409"/>
      <c r="CL75" s="409"/>
      <c r="CM75" s="409"/>
      <c r="CN75" s="409"/>
      <c r="CO75" s="409"/>
      <c r="CP75" s="409"/>
      <c r="CQ75" s="409"/>
      <c r="CR75" s="409"/>
      <c r="CS75" s="409"/>
      <c r="CT75" s="409"/>
      <c r="CU75" s="409"/>
      <c r="CV75" s="409"/>
      <c r="CW75" s="409"/>
      <c r="CX75" s="409"/>
      <c r="CY75" s="409"/>
      <c r="CZ75" s="409"/>
      <c r="DA75" s="40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</row>
    <row r="76" spans="1:162" ht="10.5" customHeight="1">
      <c r="A76" s="407"/>
      <c r="B76" s="407"/>
      <c r="C76" s="407"/>
      <c r="D76" s="407"/>
      <c r="E76" s="407"/>
      <c r="F76" s="407"/>
      <c r="G76" s="407"/>
      <c r="H76" s="184" t="s">
        <v>233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6"/>
      <c r="BD76" s="409"/>
      <c r="BE76" s="409"/>
      <c r="BF76" s="409"/>
      <c r="BG76" s="409"/>
      <c r="BH76" s="409"/>
      <c r="BI76" s="409"/>
      <c r="BJ76" s="409"/>
      <c r="BK76" s="409"/>
      <c r="BL76" s="409"/>
      <c r="BM76" s="409"/>
      <c r="BN76" s="409"/>
      <c r="BO76" s="409"/>
      <c r="BP76" s="409"/>
      <c r="BQ76" s="409"/>
      <c r="BR76" s="409"/>
      <c r="BS76" s="409"/>
      <c r="BT76" s="409"/>
      <c r="BU76" s="409"/>
      <c r="BV76" s="409"/>
      <c r="BW76" s="409"/>
      <c r="BX76" s="409"/>
      <c r="BY76" s="409"/>
      <c r="BZ76" s="409"/>
      <c r="CA76" s="409"/>
      <c r="CB76" s="409"/>
      <c r="CC76" s="409"/>
      <c r="CD76" s="409"/>
      <c r="CE76" s="409"/>
      <c r="CF76" s="409"/>
      <c r="CG76" s="409"/>
      <c r="CH76" s="409"/>
      <c r="CI76" s="409"/>
      <c r="CJ76" s="490">
        <f>SUM(CJ74:CJ75)</f>
        <v>100000</v>
      </c>
      <c r="CK76" s="413"/>
      <c r="CL76" s="413"/>
      <c r="CM76" s="413"/>
      <c r="CN76" s="413"/>
      <c r="CO76" s="413"/>
      <c r="CP76" s="413"/>
      <c r="CQ76" s="413"/>
      <c r="CR76" s="413"/>
      <c r="CS76" s="413"/>
      <c r="CT76" s="413"/>
      <c r="CU76" s="413"/>
      <c r="CV76" s="413"/>
      <c r="CW76" s="413"/>
      <c r="CX76" s="413"/>
      <c r="CY76" s="413"/>
      <c r="CZ76" s="413"/>
      <c r="DA76" s="413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</row>
    <row r="77" spans="1:162" s="82" customFormat="1" ht="18.7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</row>
    <row r="78" spans="1:162" s="83" customFormat="1" ht="14.25">
      <c r="A78" s="199" t="s">
        <v>373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</row>
    <row r="79" spans="1:105" s="84" customFormat="1" ht="1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</row>
    <row r="80" spans="1:105" s="84" customFormat="1" ht="33" customHeight="1">
      <c r="A80" s="201" t="s">
        <v>192</v>
      </c>
      <c r="B80" s="202"/>
      <c r="C80" s="202"/>
      <c r="D80" s="202"/>
      <c r="E80" s="202"/>
      <c r="F80" s="202"/>
      <c r="G80" s="203"/>
      <c r="H80" s="201" t="s">
        <v>0</v>
      </c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3"/>
      <c r="AP80" s="201" t="s">
        <v>290</v>
      </c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3"/>
      <c r="BF80" s="201" t="s">
        <v>291</v>
      </c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3"/>
      <c r="BV80" s="201" t="s">
        <v>292</v>
      </c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3"/>
      <c r="CL80" s="201" t="s">
        <v>293</v>
      </c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/>
      <c r="CY80" s="202"/>
      <c r="CZ80" s="202"/>
      <c r="DA80" s="203"/>
    </row>
    <row r="81" spans="1:162" s="84" customFormat="1" ht="15" customHeight="1">
      <c r="A81" s="416">
        <v>1</v>
      </c>
      <c r="B81" s="416"/>
      <c r="C81" s="416"/>
      <c r="D81" s="416"/>
      <c r="E81" s="416"/>
      <c r="F81" s="416"/>
      <c r="G81" s="416"/>
      <c r="H81" s="196">
        <v>2</v>
      </c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8"/>
      <c r="AP81" s="416">
        <v>4</v>
      </c>
      <c r="AQ81" s="416"/>
      <c r="AR81" s="416"/>
      <c r="AS81" s="416"/>
      <c r="AT81" s="416"/>
      <c r="AU81" s="416"/>
      <c r="AV81" s="416"/>
      <c r="AW81" s="416"/>
      <c r="AX81" s="416"/>
      <c r="AY81" s="416"/>
      <c r="AZ81" s="416"/>
      <c r="BA81" s="416"/>
      <c r="BB81" s="416"/>
      <c r="BC81" s="416"/>
      <c r="BD81" s="416"/>
      <c r="BE81" s="416"/>
      <c r="BF81" s="416">
        <v>5</v>
      </c>
      <c r="BG81" s="416"/>
      <c r="BH81" s="416"/>
      <c r="BI81" s="416"/>
      <c r="BJ81" s="416"/>
      <c r="BK81" s="416"/>
      <c r="BL81" s="416"/>
      <c r="BM81" s="416"/>
      <c r="BN81" s="416"/>
      <c r="BO81" s="416"/>
      <c r="BP81" s="416"/>
      <c r="BQ81" s="416"/>
      <c r="BR81" s="416"/>
      <c r="BS81" s="416"/>
      <c r="BT81" s="416"/>
      <c r="BU81" s="416"/>
      <c r="BV81" s="416">
        <v>6</v>
      </c>
      <c r="BW81" s="416"/>
      <c r="BX81" s="416"/>
      <c r="BY81" s="416"/>
      <c r="BZ81" s="416"/>
      <c r="CA81" s="416"/>
      <c r="CB81" s="416"/>
      <c r="CC81" s="416"/>
      <c r="CD81" s="416"/>
      <c r="CE81" s="416"/>
      <c r="CF81" s="416"/>
      <c r="CG81" s="416"/>
      <c r="CH81" s="416"/>
      <c r="CI81" s="416"/>
      <c r="CJ81" s="416"/>
      <c r="CK81" s="416"/>
      <c r="CL81" s="416">
        <v>6</v>
      </c>
      <c r="CM81" s="416"/>
      <c r="CN81" s="416"/>
      <c r="CO81" s="416"/>
      <c r="CP81" s="416"/>
      <c r="CQ81" s="416"/>
      <c r="CR81" s="416"/>
      <c r="CS81" s="416"/>
      <c r="CT81" s="416"/>
      <c r="CU81" s="416"/>
      <c r="CV81" s="416"/>
      <c r="CW81" s="416"/>
      <c r="CX81" s="416"/>
      <c r="CY81" s="416"/>
      <c r="CZ81" s="416"/>
      <c r="DA81" s="416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</row>
    <row r="82" spans="1:162" ht="10.5" customHeight="1">
      <c r="A82" s="407" t="s">
        <v>169</v>
      </c>
      <c r="B82" s="407"/>
      <c r="C82" s="407"/>
      <c r="D82" s="407"/>
      <c r="E82" s="407"/>
      <c r="F82" s="407"/>
      <c r="G82" s="407"/>
      <c r="H82" s="434" t="s">
        <v>374</v>
      </c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435"/>
      <c r="AD82" s="435"/>
      <c r="AE82" s="435"/>
      <c r="AF82" s="435"/>
      <c r="AG82" s="435"/>
      <c r="AH82" s="435"/>
      <c r="AI82" s="435"/>
      <c r="AJ82" s="435"/>
      <c r="AK82" s="435"/>
      <c r="AL82" s="435"/>
      <c r="AM82" s="435"/>
      <c r="AN82" s="435"/>
      <c r="AO82" s="436"/>
      <c r="AP82" s="471">
        <v>4483.91</v>
      </c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>
        <f>1699.8*1.18</f>
        <v>2005.76</v>
      </c>
      <c r="BG82" s="471"/>
      <c r="BH82" s="471"/>
      <c r="BI82" s="471"/>
      <c r="BJ82" s="471"/>
      <c r="BK82" s="471"/>
      <c r="BL82" s="471"/>
      <c r="BM82" s="471"/>
      <c r="BN82" s="471"/>
      <c r="BO82" s="471"/>
      <c r="BP82" s="471"/>
      <c r="BQ82" s="471"/>
      <c r="BR82" s="471"/>
      <c r="BS82" s="471"/>
      <c r="BT82" s="471"/>
      <c r="BU82" s="471"/>
      <c r="BV82" s="471"/>
      <c r="BW82" s="471"/>
      <c r="BX82" s="471"/>
      <c r="BY82" s="471"/>
      <c r="BZ82" s="471"/>
      <c r="CA82" s="471"/>
      <c r="CB82" s="471"/>
      <c r="CC82" s="471"/>
      <c r="CD82" s="471"/>
      <c r="CE82" s="471"/>
      <c r="CF82" s="471"/>
      <c r="CG82" s="471"/>
      <c r="CH82" s="471"/>
      <c r="CI82" s="471"/>
      <c r="CJ82" s="471"/>
      <c r="CK82" s="471"/>
      <c r="CL82" s="471">
        <f>AP82*BF82+24760.4-59.6+1.26</f>
        <v>9018349.38</v>
      </c>
      <c r="CM82" s="471"/>
      <c r="CN82" s="471"/>
      <c r="CO82" s="471"/>
      <c r="CP82" s="471"/>
      <c r="CQ82" s="471"/>
      <c r="CR82" s="471"/>
      <c r="CS82" s="471"/>
      <c r="CT82" s="471"/>
      <c r="CU82" s="471"/>
      <c r="CV82" s="471"/>
      <c r="CW82" s="471"/>
      <c r="CX82" s="471"/>
      <c r="CY82" s="471"/>
      <c r="CZ82" s="471"/>
      <c r="DA82" s="471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</row>
    <row r="83" spans="1:162" s="80" customFormat="1" ht="15">
      <c r="A83" s="407" t="s">
        <v>37</v>
      </c>
      <c r="B83" s="407"/>
      <c r="C83" s="407"/>
      <c r="D83" s="407"/>
      <c r="E83" s="407"/>
      <c r="F83" s="407"/>
      <c r="G83" s="407"/>
      <c r="H83" s="434" t="s">
        <v>375</v>
      </c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6"/>
      <c r="AP83" s="471">
        <v>2708.65</v>
      </c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>
        <f>17.31*1.18</f>
        <v>20.43</v>
      </c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1"/>
      <c r="CC83" s="471"/>
      <c r="CD83" s="471"/>
      <c r="CE83" s="471"/>
      <c r="CF83" s="471"/>
      <c r="CG83" s="471"/>
      <c r="CH83" s="471"/>
      <c r="CI83" s="471"/>
      <c r="CJ83" s="471"/>
      <c r="CK83" s="471"/>
      <c r="CL83" s="471">
        <f>AP83*BF83</f>
        <v>55337.72</v>
      </c>
      <c r="CM83" s="471"/>
      <c r="CN83" s="471"/>
      <c r="CO83" s="471"/>
      <c r="CP83" s="471"/>
      <c r="CQ83" s="471"/>
      <c r="CR83" s="471"/>
      <c r="CS83" s="471"/>
      <c r="CT83" s="471"/>
      <c r="CU83" s="471"/>
      <c r="CV83" s="471"/>
      <c r="CW83" s="471"/>
      <c r="CX83" s="471"/>
      <c r="CY83" s="471"/>
      <c r="CZ83" s="471"/>
      <c r="DA83" s="471"/>
      <c r="DB83" s="84"/>
      <c r="DC83" s="84"/>
      <c r="DD83" s="84"/>
      <c r="DE83" s="84"/>
      <c r="DF83" s="84"/>
      <c r="DG83" s="84"/>
      <c r="DH83" s="84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</row>
    <row r="84" spans="1:162" ht="10.5" customHeight="1">
      <c r="A84" s="407" t="s">
        <v>38</v>
      </c>
      <c r="B84" s="407"/>
      <c r="C84" s="407"/>
      <c r="D84" s="407"/>
      <c r="E84" s="407"/>
      <c r="F84" s="407"/>
      <c r="G84" s="407"/>
      <c r="H84" s="434" t="s">
        <v>376</v>
      </c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6"/>
      <c r="AP84" s="471">
        <v>785000</v>
      </c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>
        <f>6.6</f>
        <v>6.6</v>
      </c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1"/>
      <c r="BY84" s="471"/>
      <c r="BZ84" s="471"/>
      <c r="CA84" s="471"/>
      <c r="CB84" s="471"/>
      <c r="CC84" s="471"/>
      <c r="CD84" s="471"/>
      <c r="CE84" s="471"/>
      <c r="CF84" s="471"/>
      <c r="CG84" s="471"/>
      <c r="CH84" s="471"/>
      <c r="CI84" s="471"/>
      <c r="CJ84" s="471"/>
      <c r="CK84" s="471"/>
      <c r="CL84" s="471">
        <f>AP84*BF84</f>
        <v>5181000</v>
      </c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1"/>
      <c r="CX84" s="471"/>
      <c r="CY84" s="471"/>
      <c r="CZ84" s="471"/>
      <c r="DA84" s="471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</row>
    <row r="85" spans="1:162" s="82" customFormat="1" ht="25.5" customHeight="1">
      <c r="A85" s="407" t="s">
        <v>319</v>
      </c>
      <c r="B85" s="407"/>
      <c r="C85" s="407"/>
      <c r="D85" s="407"/>
      <c r="E85" s="407"/>
      <c r="F85" s="407"/>
      <c r="G85" s="407"/>
      <c r="H85" s="434" t="s">
        <v>377</v>
      </c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5"/>
      <c r="AO85" s="436"/>
      <c r="AP85" s="471">
        <v>13480</v>
      </c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>
        <f>17.31*1.18</f>
        <v>20.43</v>
      </c>
      <c r="BG85" s="471"/>
      <c r="BH85" s="471"/>
      <c r="BI85" s="471"/>
      <c r="BJ85" s="471"/>
      <c r="BK85" s="471"/>
      <c r="BL85" s="471"/>
      <c r="BM85" s="471"/>
      <c r="BN85" s="471"/>
      <c r="BO85" s="471"/>
      <c r="BP85" s="471"/>
      <c r="BQ85" s="471"/>
      <c r="BR85" s="471"/>
      <c r="BS85" s="471"/>
      <c r="BT85" s="471"/>
      <c r="BU85" s="471"/>
      <c r="BV85" s="471"/>
      <c r="BW85" s="471"/>
      <c r="BX85" s="471"/>
      <c r="BY85" s="471"/>
      <c r="BZ85" s="471"/>
      <c r="CA85" s="471"/>
      <c r="CB85" s="471"/>
      <c r="CC85" s="471"/>
      <c r="CD85" s="471"/>
      <c r="CE85" s="471"/>
      <c r="CF85" s="471"/>
      <c r="CG85" s="471"/>
      <c r="CH85" s="471"/>
      <c r="CI85" s="471"/>
      <c r="CJ85" s="471"/>
      <c r="CK85" s="471"/>
      <c r="CL85" s="471">
        <f>AP85*BF85</f>
        <v>275396.4</v>
      </c>
      <c r="CM85" s="471"/>
      <c r="CN85" s="471"/>
      <c r="CO85" s="471"/>
      <c r="CP85" s="471"/>
      <c r="CQ85" s="471"/>
      <c r="CR85" s="471"/>
      <c r="CS85" s="471"/>
      <c r="CT85" s="471"/>
      <c r="CU85" s="471"/>
      <c r="CV85" s="471"/>
      <c r="CW85" s="471"/>
      <c r="CX85" s="471"/>
      <c r="CY85" s="471"/>
      <c r="CZ85" s="471"/>
      <c r="DA85" s="471"/>
      <c r="DB85" s="79"/>
      <c r="DC85" s="79"/>
      <c r="DD85" s="79"/>
      <c r="DE85" s="79"/>
      <c r="DF85" s="79"/>
      <c r="DG85" s="79"/>
      <c r="DH85" s="79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</row>
    <row r="86" spans="1:162" s="83" customFormat="1" ht="14.25">
      <c r="A86" s="407" t="s">
        <v>320</v>
      </c>
      <c r="B86" s="407"/>
      <c r="C86" s="407"/>
      <c r="D86" s="407"/>
      <c r="E86" s="407"/>
      <c r="F86" s="407"/>
      <c r="G86" s="407"/>
      <c r="H86" s="434" t="s">
        <v>378</v>
      </c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5"/>
      <c r="W86" s="435"/>
      <c r="X86" s="435"/>
      <c r="Y86" s="435"/>
      <c r="Z86" s="435"/>
      <c r="AA86" s="435"/>
      <c r="AB86" s="435"/>
      <c r="AC86" s="435"/>
      <c r="AD86" s="435"/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6"/>
      <c r="AP86" s="471">
        <v>23845.44</v>
      </c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>
        <f>21.22*1.18</f>
        <v>25.04</v>
      </c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1"/>
      <c r="BY86" s="471"/>
      <c r="BZ86" s="471"/>
      <c r="CA86" s="471"/>
      <c r="CB86" s="471"/>
      <c r="CC86" s="471"/>
      <c r="CD86" s="471"/>
      <c r="CE86" s="471"/>
      <c r="CF86" s="471"/>
      <c r="CG86" s="471"/>
      <c r="CH86" s="471"/>
      <c r="CI86" s="471"/>
      <c r="CJ86" s="471"/>
      <c r="CK86" s="471"/>
      <c r="CL86" s="471">
        <f>AP86*BF86</f>
        <v>597089.82</v>
      </c>
      <c r="CM86" s="471"/>
      <c r="CN86" s="471"/>
      <c r="CO86" s="471"/>
      <c r="CP86" s="471"/>
      <c r="CQ86" s="471"/>
      <c r="CR86" s="471"/>
      <c r="CS86" s="471"/>
      <c r="CT86" s="471"/>
      <c r="CU86" s="471"/>
      <c r="CV86" s="471"/>
      <c r="CW86" s="471"/>
      <c r="CX86" s="471"/>
      <c r="CY86" s="471"/>
      <c r="CZ86" s="471"/>
      <c r="DA86" s="471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</row>
    <row r="87" spans="1:146" s="84" customFormat="1" ht="15" customHeight="1">
      <c r="A87" s="407"/>
      <c r="B87" s="407"/>
      <c r="C87" s="407"/>
      <c r="D87" s="407"/>
      <c r="E87" s="407"/>
      <c r="F87" s="407"/>
      <c r="G87" s="407"/>
      <c r="H87" s="477" t="s">
        <v>233</v>
      </c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9"/>
      <c r="AP87" s="413" t="s">
        <v>234</v>
      </c>
      <c r="AQ87" s="413"/>
      <c r="AR87" s="413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 t="s">
        <v>234</v>
      </c>
      <c r="BG87" s="413"/>
      <c r="BH87" s="413"/>
      <c r="BI87" s="413"/>
      <c r="BJ87" s="413"/>
      <c r="BK87" s="413"/>
      <c r="BL87" s="413"/>
      <c r="BM87" s="413"/>
      <c r="BN87" s="413"/>
      <c r="BO87" s="413"/>
      <c r="BP87" s="413"/>
      <c r="BQ87" s="413"/>
      <c r="BR87" s="413"/>
      <c r="BS87" s="413"/>
      <c r="BT87" s="413"/>
      <c r="BU87" s="413"/>
      <c r="BV87" s="413" t="s">
        <v>234</v>
      </c>
      <c r="BW87" s="413"/>
      <c r="BX87" s="413"/>
      <c r="BY87" s="413"/>
      <c r="BZ87" s="413"/>
      <c r="CA87" s="413"/>
      <c r="CB87" s="413"/>
      <c r="CC87" s="413"/>
      <c r="CD87" s="413"/>
      <c r="CE87" s="413"/>
      <c r="CF87" s="413"/>
      <c r="CG87" s="413"/>
      <c r="CH87" s="413"/>
      <c r="CI87" s="413"/>
      <c r="CJ87" s="413"/>
      <c r="CK87" s="413"/>
      <c r="CL87" s="490">
        <f>SUM(CL82:CL86)</f>
        <v>15127173.32</v>
      </c>
      <c r="CM87" s="413"/>
      <c r="CN87" s="413"/>
      <c r="CO87" s="413"/>
      <c r="CP87" s="413"/>
      <c r="CQ87" s="413"/>
      <c r="CR87" s="413"/>
      <c r="CS87" s="413"/>
      <c r="CT87" s="413"/>
      <c r="CU87" s="413"/>
      <c r="CV87" s="413"/>
      <c r="CW87" s="413"/>
      <c r="CX87" s="413"/>
      <c r="CY87" s="413"/>
      <c r="CZ87" s="413"/>
      <c r="DA87" s="413"/>
      <c r="DB87" s="79"/>
      <c r="DC87" s="79"/>
      <c r="DD87" s="79"/>
      <c r="DE87" s="79"/>
      <c r="DF87" s="79"/>
      <c r="DG87" s="79"/>
      <c r="DH87" s="79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</row>
    <row r="88" spans="1:162" s="84" customFormat="1" ht="1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</row>
    <row r="89" spans="1:105" ht="12" customHeight="1">
      <c r="A89" s="199" t="s">
        <v>379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</row>
    <row r="90" spans="1:162" s="80" customFormat="1" ht="1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</row>
    <row r="91" spans="1:105" ht="10.5" customHeight="1">
      <c r="A91" s="419" t="s">
        <v>192</v>
      </c>
      <c r="B91" s="420"/>
      <c r="C91" s="420"/>
      <c r="D91" s="420"/>
      <c r="E91" s="420"/>
      <c r="F91" s="420"/>
      <c r="G91" s="421"/>
      <c r="H91" s="201" t="s">
        <v>273</v>
      </c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3"/>
      <c r="BD91" s="419" t="s">
        <v>299</v>
      </c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0"/>
      <c r="BQ91" s="420"/>
      <c r="BR91" s="420"/>
      <c r="BS91" s="421"/>
      <c r="BT91" s="419" t="s">
        <v>300</v>
      </c>
      <c r="BU91" s="420"/>
      <c r="BV91" s="420"/>
      <c r="BW91" s="420"/>
      <c r="BX91" s="420"/>
      <c r="BY91" s="420"/>
      <c r="BZ91" s="420"/>
      <c r="CA91" s="420"/>
      <c r="CB91" s="420"/>
      <c r="CC91" s="420"/>
      <c r="CD91" s="420"/>
      <c r="CE91" s="420"/>
      <c r="CF91" s="420"/>
      <c r="CG91" s="420"/>
      <c r="CH91" s="420"/>
      <c r="CI91" s="421"/>
      <c r="CJ91" s="419" t="s">
        <v>301</v>
      </c>
      <c r="CK91" s="420"/>
      <c r="CL91" s="420"/>
      <c r="CM91" s="420"/>
      <c r="CN91" s="420"/>
      <c r="CO91" s="420"/>
      <c r="CP91" s="420"/>
      <c r="CQ91" s="420"/>
      <c r="CR91" s="420"/>
      <c r="CS91" s="420"/>
      <c r="CT91" s="420"/>
      <c r="CU91" s="420"/>
      <c r="CV91" s="420"/>
      <c r="CW91" s="420"/>
      <c r="CX91" s="420"/>
      <c r="CY91" s="420"/>
      <c r="CZ91" s="420"/>
      <c r="DA91" s="421"/>
    </row>
    <row r="92" spans="1:162" s="82" customFormat="1" ht="45" customHeight="1">
      <c r="A92" s="416">
        <v>1</v>
      </c>
      <c r="B92" s="416"/>
      <c r="C92" s="416"/>
      <c r="D92" s="416"/>
      <c r="E92" s="416"/>
      <c r="F92" s="416"/>
      <c r="G92" s="416"/>
      <c r="H92" s="196">
        <v>2</v>
      </c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8"/>
      <c r="BD92" s="416">
        <v>3</v>
      </c>
      <c r="BE92" s="416"/>
      <c r="BF92" s="416"/>
      <c r="BG92" s="416"/>
      <c r="BH92" s="416"/>
      <c r="BI92" s="416"/>
      <c r="BJ92" s="416"/>
      <c r="BK92" s="416"/>
      <c r="BL92" s="416"/>
      <c r="BM92" s="416"/>
      <c r="BN92" s="416"/>
      <c r="BO92" s="416"/>
      <c r="BP92" s="416"/>
      <c r="BQ92" s="416"/>
      <c r="BR92" s="416"/>
      <c r="BS92" s="416"/>
      <c r="BT92" s="416">
        <v>4</v>
      </c>
      <c r="BU92" s="416"/>
      <c r="BV92" s="416"/>
      <c r="BW92" s="416"/>
      <c r="BX92" s="416"/>
      <c r="BY92" s="416"/>
      <c r="BZ92" s="416"/>
      <c r="CA92" s="416"/>
      <c r="CB92" s="416"/>
      <c r="CC92" s="416"/>
      <c r="CD92" s="416"/>
      <c r="CE92" s="416"/>
      <c r="CF92" s="416"/>
      <c r="CG92" s="416"/>
      <c r="CH92" s="416"/>
      <c r="CI92" s="416"/>
      <c r="CJ92" s="416">
        <v>5</v>
      </c>
      <c r="CK92" s="416"/>
      <c r="CL92" s="416"/>
      <c r="CM92" s="416"/>
      <c r="CN92" s="416"/>
      <c r="CO92" s="416"/>
      <c r="CP92" s="416"/>
      <c r="CQ92" s="416"/>
      <c r="CR92" s="416"/>
      <c r="CS92" s="416"/>
      <c r="CT92" s="416"/>
      <c r="CU92" s="416"/>
      <c r="CV92" s="416"/>
      <c r="CW92" s="416"/>
      <c r="CX92" s="416"/>
      <c r="CY92" s="416"/>
      <c r="CZ92" s="416"/>
      <c r="DA92" s="416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</row>
    <row r="93" spans="1:162" s="83" customFormat="1" ht="15">
      <c r="A93" s="416">
        <v>1</v>
      </c>
      <c r="B93" s="416"/>
      <c r="C93" s="416"/>
      <c r="D93" s="416"/>
      <c r="E93" s="416"/>
      <c r="F93" s="416"/>
      <c r="G93" s="416"/>
      <c r="H93" s="480" t="s">
        <v>380</v>
      </c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1"/>
      <c r="AR93" s="481"/>
      <c r="AS93" s="481"/>
      <c r="AT93" s="481"/>
      <c r="AU93" s="481"/>
      <c r="AV93" s="481"/>
      <c r="AW93" s="481"/>
      <c r="AX93" s="481"/>
      <c r="AY93" s="481"/>
      <c r="AZ93" s="481"/>
      <c r="BA93" s="481"/>
      <c r="BB93" s="481"/>
      <c r="BC93" s="482"/>
      <c r="BD93" s="483" t="s">
        <v>381</v>
      </c>
      <c r="BE93" s="484"/>
      <c r="BF93" s="484"/>
      <c r="BG93" s="484"/>
      <c r="BH93" s="484"/>
      <c r="BI93" s="484"/>
      <c r="BJ93" s="484"/>
      <c r="BK93" s="484"/>
      <c r="BL93" s="484"/>
      <c r="BM93" s="484"/>
      <c r="BN93" s="484"/>
      <c r="BO93" s="484"/>
      <c r="BP93" s="484"/>
      <c r="BQ93" s="484"/>
      <c r="BR93" s="484"/>
      <c r="BS93" s="485"/>
      <c r="BT93" s="416">
        <v>12</v>
      </c>
      <c r="BU93" s="416"/>
      <c r="BV93" s="416"/>
      <c r="BW93" s="416"/>
      <c r="BX93" s="416"/>
      <c r="BY93" s="416"/>
      <c r="BZ93" s="416"/>
      <c r="CA93" s="416"/>
      <c r="CB93" s="416"/>
      <c r="CC93" s="416"/>
      <c r="CD93" s="416"/>
      <c r="CE93" s="416"/>
      <c r="CF93" s="416"/>
      <c r="CG93" s="416"/>
      <c r="CH93" s="416"/>
      <c r="CI93" s="416"/>
      <c r="CJ93" s="486">
        <v>1000000</v>
      </c>
      <c r="CK93" s="486"/>
      <c r="CL93" s="486"/>
      <c r="CM93" s="486"/>
      <c r="CN93" s="486"/>
      <c r="CO93" s="486"/>
      <c r="CP93" s="486"/>
      <c r="CQ93" s="486"/>
      <c r="CR93" s="486"/>
      <c r="CS93" s="486"/>
      <c r="CT93" s="486"/>
      <c r="CU93" s="486"/>
      <c r="CV93" s="486"/>
      <c r="CW93" s="486"/>
      <c r="CX93" s="486"/>
      <c r="CY93" s="486"/>
      <c r="CZ93" s="486"/>
      <c r="DA93" s="486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</row>
    <row r="94" spans="1:162" s="84" customFormat="1" ht="15" customHeight="1">
      <c r="A94" s="416">
        <f>A93+1</f>
        <v>2</v>
      </c>
      <c r="B94" s="416"/>
      <c r="C94" s="416"/>
      <c r="D94" s="416"/>
      <c r="E94" s="416"/>
      <c r="F94" s="416"/>
      <c r="G94" s="416"/>
      <c r="H94" s="480" t="s">
        <v>382</v>
      </c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/>
      <c r="AS94" s="481"/>
      <c r="AT94" s="481"/>
      <c r="AU94" s="481"/>
      <c r="AV94" s="481"/>
      <c r="AW94" s="481"/>
      <c r="AX94" s="481"/>
      <c r="AY94" s="481"/>
      <c r="AZ94" s="481"/>
      <c r="BA94" s="481"/>
      <c r="BB94" s="481"/>
      <c r="BC94" s="482"/>
      <c r="BD94" s="483"/>
      <c r="BE94" s="484"/>
      <c r="BF94" s="484"/>
      <c r="BG94" s="484"/>
      <c r="BH94" s="484"/>
      <c r="BI94" s="484"/>
      <c r="BJ94" s="484"/>
      <c r="BK94" s="484"/>
      <c r="BL94" s="484"/>
      <c r="BM94" s="484"/>
      <c r="BN94" s="484"/>
      <c r="BO94" s="484"/>
      <c r="BP94" s="484"/>
      <c r="BQ94" s="484"/>
      <c r="BR94" s="484"/>
      <c r="BS94" s="485"/>
      <c r="BT94" s="416">
        <v>12</v>
      </c>
      <c r="BU94" s="416"/>
      <c r="BV94" s="416"/>
      <c r="BW94" s="416"/>
      <c r="BX94" s="416"/>
      <c r="BY94" s="416"/>
      <c r="BZ94" s="416"/>
      <c r="CA94" s="416"/>
      <c r="CB94" s="416"/>
      <c r="CC94" s="416"/>
      <c r="CD94" s="416"/>
      <c r="CE94" s="416"/>
      <c r="CF94" s="416"/>
      <c r="CG94" s="416"/>
      <c r="CH94" s="416"/>
      <c r="CI94" s="416"/>
      <c r="CJ94" s="486">
        <v>300000</v>
      </c>
      <c r="CK94" s="486"/>
      <c r="CL94" s="486"/>
      <c r="CM94" s="486"/>
      <c r="CN94" s="486"/>
      <c r="CO94" s="486"/>
      <c r="CP94" s="486"/>
      <c r="CQ94" s="486"/>
      <c r="CR94" s="486"/>
      <c r="CS94" s="486"/>
      <c r="CT94" s="486"/>
      <c r="CU94" s="486"/>
      <c r="CV94" s="486"/>
      <c r="CW94" s="486"/>
      <c r="CX94" s="486"/>
      <c r="CY94" s="486"/>
      <c r="CZ94" s="486"/>
      <c r="DA94" s="486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</row>
    <row r="95" spans="1:162" s="84" customFormat="1" ht="15" customHeight="1">
      <c r="A95" s="416">
        <f>A94+1</f>
        <v>3</v>
      </c>
      <c r="B95" s="416"/>
      <c r="C95" s="416"/>
      <c r="D95" s="416"/>
      <c r="E95" s="416"/>
      <c r="F95" s="416"/>
      <c r="G95" s="416"/>
      <c r="H95" s="487" t="s">
        <v>383</v>
      </c>
      <c r="I95" s="488"/>
      <c r="J95" s="488"/>
      <c r="K95" s="488"/>
      <c r="L95" s="488"/>
      <c r="M95" s="488"/>
      <c r="N95" s="488"/>
      <c r="O95" s="488"/>
      <c r="P95" s="488"/>
      <c r="Q95" s="488"/>
      <c r="R95" s="488"/>
      <c r="S95" s="488"/>
      <c r="T95" s="488"/>
      <c r="U95" s="488"/>
      <c r="V95" s="488"/>
      <c r="W95" s="488"/>
      <c r="X95" s="488"/>
      <c r="Y95" s="488"/>
      <c r="Z95" s="488"/>
      <c r="AA95" s="488"/>
      <c r="AB95" s="488"/>
      <c r="AC95" s="488"/>
      <c r="AD95" s="488"/>
      <c r="AE95" s="488"/>
      <c r="AF95" s="488"/>
      <c r="AG95" s="488"/>
      <c r="AH95" s="488"/>
      <c r="AI95" s="488"/>
      <c r="AJ95" s="488"/>
      <c r="AK95" s="488"/>
      <c r="AL95" s="488"/>
      <c r="AM95" s="488"/>
      <c r="AN95" s="488"/>
      <c r="AO95" s="488"/>
      <c r="AP95" s="488"/>
      <c r="AQ95" s="488"/>
      <c r="AR95" s="488"/>
      <c r="AS95" s="488"/>
      <c r="AT95" s="488"/>
      <c r="AU95" s="488"/>
      <c r="AV95" s="488"/>
      <c r="AW95" s="488"/>
      <c r="AX95" s="488"/>
      <c r="AY95" s="488"/>
      <c r="AZ95" s="488"/>
      <c r="BA95" s="488"/>
      <c r="BB95" s="488"/>
      <c r="BC95" s="489"/>
      <c r="BD95" s="483"/>
      <c r="BE95" s="484"/>
      <c r="BF95" s="484"/>
      <c r="BG95" s="484"/>
      <c r="BH95" s="484"/>
      <c r="BI95" s="484"/>
      <c r="BJ95" s="484"/>
      <c r="BK95" s="484"/>
      <c r="BL95" s="484"/>
      <c r="BM95" s="484"/>
      <c r="BN95" s="484"/>
      <c r="BO95" s="484"/>
      <c r="BP95" s="484"/>
      <c r="BQ95" s="484"/>
      <c r="BR95" s="484"/>
      <c r="BS95" s="485"/>
      <c r="BT95" s="416">
        <v>4</v>
      </c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86">
        <v>500000</v>
      </c>
      <c r="CK95" s="486"/>
      <c r="CL95" s="486"/>
      <c r="CM95" s="486"/>
      <c r="CN95" s="486"/>
      <c r="CO95" s="486"/>
      <c r="CP95" s="486"/>
      <c r="CQ95" s="486"/>
      <c r="CR95" s="486"/>
      <c r="CS95" s="486"/>
      <c r="CT95" s="486"/>
      <c r="CU95" s="486"/>
      <c r="CV95" s="486"/>
      <c r="CW95" s="486"/>
      <c r="CX95" s="486"/>
      <c r="CY95" s="486"/>
      <c r="CZ95" s="486"/>
      <c r="DA95" s="486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</row>
    <row r="96" spans="1:162" s="84" customFormat="1" ht="15" customHeight="1">
      <c r="A96" s="416">
        <v>4</v>
      </c>
      <c r="B96" s="416"/>
      <c r="C96" s="416"/>
      <c r="D96" s="416"/>
      <c r="E96" s="416"/>
      <c r="F96" s="416"/>
      <c r="G96" s="416"/>
      <c r="H96" s="487" t="s">
        <v>384</v>
      </c>
      <c r="I96" s="488"/>
      <c r="J96" s="488"/>
      <c r="K96" s="488"/>
      <c r="L96" s="488"/>
      <c r="M96" s="488"/>
      <c r="N96" s="488"/>
      <c r="O96" s="488"/>
      <c r="P96" s="488"/>
      <c r="Q96" s="488"/>
      <c r="R96" s="488"/>
      <c r="S96" s="488"/>
      <c r="T96" s="488"/>
      <c r="U96" s="488"/>
      <c r="V96" s="488"/>
      <c r="W96" s="488"/>
      <c r="X96" s="488"/>
      <c r="Y96" s="488"/>
      <c r="Z96" s="488"/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8"/>
      <c r="AL96" s="488"/>
      <c r="AM96" s="488"/>
      <c r="AN96" s="488"/>
      <c r="AO96" s="488"/>
      <c r="AP96" s="488"/>
      <c r="AQ96" s="488"/>
      <c r="AR96" s="488"/>
      <c r="AS96" s="488"/>
      <c r="AT96" s="488"/>
      <c r="AU96" s="488"/>
      <c r="AV96" s="488"/>
      <c r="AW96" s="488"/>
      <c r="AX96" s="488"/>
      <c r="AY96" s="488"/>
      <c r="AZ96" s="488"/>
      <c r="BA96" s="488"/>
      <c r="BB96" s="488"/>
      <c r="BC96" s="489"/>
      <c r="BD96" s="483"/>
      <c r="BE96" s="484"/>
      <c r="BF96" s="484"/>
      <c r="BG96" s="484"/>
      <c r="BH96" s="484"/>
      <c r="BI96" s="484"/>
      <c r="BJ96" s="484"/>
      <c r="BK96" s="484"/>
      <c r="BL96" s="484"/>
      <c r="BM96" s="484"/>
      <c r="BN96" s="484"/>
      <c r="BO96" s="484"/>
      <c r="BP96" s="484"/>
      <c r="BQ96" s="484"/>
      <c r="BR96" s="484"/>
      <c r="BS96" s="485"/>
      <c r="BT96" s="416">
        <v>12</v>
      </c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86">
        <v>300000</v>
      </c>
      <c r="CK96" s="486"/>
      <c r="CL96" s="486"/>
      <c r="CM96" s="486"/>
      <c r="CN96" s="486"/>
      <c r="CO96" s="486"/>
      <c r="CP96" s="486"/>
      <c r="CQ96" s="486"/>
      <c r="CR96" s="486"/>
      <c r="CS96" s="486"/>
      <c r="CT96" s="486"/>
      <c r="CU96" s="486"/>
      <c r="CV96" s="486"/>
      <c r="CW96" s="486"/>
      <c r="CX96" s="486"/>
      <c r="CY96" s="486"/>
      <c r="CZ96" s="486"/>
      <c r="DA96" s="486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</row>
    <row r="97" spans="1:105" ht="12" customHeight="1">
      <c r="A97" s="416">
        <v>5</v>
      </c>
      <c r="B97" s="416"/>
      <c r="C97" s="416"/>
      <c r="D97" s="416"/>
      <c r="E97" s="416"/>
      <c r="F97" s="416"/>
      <c r="G97" s="416"/>
      <c r="H97" s="487" t="s">
        <v>385</v>
      </c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488"/>
      <c r="U97" s="488"/>
      <c r="V97" s="488"/>
      <c r="W97" s="488"/>
      <c r="X97" s="488"/>
      <c r="Y97" s="488"/>
      <c r="Z97" s="488"/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8"/>
      <c r="AL97" s="488"/>
      <c r="AM97" s="488"/>
      <c r="AN97" s="488"/>
      <c r="AO97" s="488"/>
      <c r="AP97" s="488"/>
      <c r="AQ97" s="488"/>
      <c r="AR97" s="488"/>
      <c r="AS97" s="488"/>
      <c r="AT97" s="488"/>
      <c r="AU97" s="488"/>
      <c r="AV97" s="488"/>
      <c r="AW97" s="488"/>
      <c r="AX97" s="488"/>
      <c r="AY97" s="488"/>
      <c r="AZ97" s="488"/>
      <c r="BA97" s="488"/>
      <c r="BB97" s="488"/>
      <c r="BC97" s="489"/>
      <c r="BD97" s="483"/>
      <c r="BE97" s="484"/>
      <c r="BF97" s="484"/>
      <c r="BG97" s="484"/>
      <c r="BH97" s="484"/>
      <c r="BI97" s="484"/>
      <c r="BJ97" s="484"/>
      <c r="BK97" s="484"/>
      <c r="BL97" s="484"/>
      <c r="BM97" s="484"/>
      <c r="BN97" s="484"/>
      <c r="BO97" s="484"/>
      <c r="BP97" s="484"/>
      <c r="BQ97" s="484"/>
      <c r="BR97" s="484"/>
      <c r="BS97" s="485"/>
      <c r="BT97" s="416">
        <v>12</v>
      </c>
      <c r="BU97" s="416"/>
      <c r="BV97" s="416"/>
      <c r="BW97" s="416"/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86">
        <v>500000</v>
      </c>
      <c r="CK97" s="486"/>
      <c r="CL97" s="486"/>
      <c r="CM97" s="486"/>
      <c r="CN97" s="486"/>
      <c r="CO97" s="486"/>
      <c r="CP97" s="486"/>
      <c r="CQ97" s="486"/>
      <c r="CR97" s="486"/>
      <c r="CS97" s="486"/>
      <c r="CT97" s="486"/>
      <c r="CU97" s="486"/>
      <c r="CV97" s="486"/>
      <c r="CW97" s="486"/>
      <c r="CX97" s="486"/>
      <c r="CY97" s="486"/>
      <c r="CZ97" s="486"/>
      <c r="DA97" s="486"/>
    </row>
    <row r="98" spans="1:162" s="80" customFormat="1" ht="15">
      <c r="A98" s="416">
        <v>6</v>
      </c>
      <c r="B98" s="416"/>
      <c r="C98" s="416"/>
      <c r="D98" s="416"/>
      <c r="E98" s="416"/>
      <c r="F98" s="416"/>
      <c r="G98" s="416"/>
      <c r="H98" s="487" t="s">
        <v>386</v>
      </c>
      <c r="I98" s="488"/>
      <c r="J98" s="488"/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88"/>
      <c r="AH98" s="488"/>
      <c r="AI98" s="488"/>
      <c r="AJ98" s="488"/>
      <c r="AK98" s="488"/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V98" s="488"/>
      <c r="AW98" s="488"/>
      <c r="AX98" s="488"/>
      <c r="AY98" s="488"/>
      <c r="AZ98" s="488"/>
      <c r="BA98" s="488"/>
      <c r="BB98" s="488"/>
      <c r="BC98" s="489"/>
      <c r="BD98" s="483"/>
      <c r="BE98" s="484"/>
      <c r="BF98" s="484"/>
      <c r="BG98" s="484"/>
      <c r="BH98" s="484"/>
      <c r="BI98" s="484"/>
      <c r="BJ98" s="484"/>
      <c r="BK98" s="484"/>
      <c r="BL98" s="484"/>
      <c r="BM98" s="484"/>
      <c r="BN98" s="484"/>
      <c r="BO98" s="484"/>
      <c r="BP98" s="484"/>
      <c r="BQ98" s="484"/>
      <c r="BR98" s="484"/>
      <c r="BS98" s="485"/>
      <c r="BT98" s="416">
        <v>12</v>
      </c>
      <c r="BU98" s="416"/>
      <c r="BV98" s="416"/>
      <c r="BW98" s="416"/>
      <c r="BX98" s="416"/>
      <c r="BY98" s="416"/>
      <c r="BZ98" s="416"/>
      <c r="CA98" s="416"/>
      <c r="CB98" s="416"/>
      <c r="CC98" s="416"/>
      <c r="CD98" s="416"/>
      <c r="CE98" s="416"/>
      <c r="CF98" s="416"/>
      <c r="CG98" s="416"/>
      <c r="CH98" s="416"/>
      <c r="CI98" s="416"/>
      <c r="CJ98" s="486">
        <v>400000</v>
      </c>
      <c r="CK98" s="486"/>
      <c r="CL98" s="486"/>
      <c r="CM98" s="486"/>
      <c r="CN98" s="486"/>
      <c r="CO98" s="486"/>
      <c r="CP98" s="486"/>
      <c r="CQ98" s="486"/>
      <c r="CR98" s="486"/>
      <c r="CS98" s="486"/>
      <c r="CT98" s="486"/>
      <c r="CU98" s="486"/>
      <c r="CV98" s="486"/>
      <c r="CW98" s="486"/>
      <c r="CX98" s="486"/>
      <c r="CY98" s="486"/>
      <c r="CZ98" s="486"/>
      <c r="DA98" s="486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</row>
    <row r="99" spans="1:105" ht="16.5" customHeight="1">
      <c r="A99" s="416">
        <v>7</v>
      </c>
      <c r="B99" s="416"/>
      <c r="C99" s="416"/>
      <c r="D99" s="416"/>
      <c r="E99" s="416"/>
      <c r="F99" s="416"/>
      <c r="G99" s="416"/>
      <c r="H99" s="487" t="s">
        <v>387</v>
      </c>
      <c r="I99" s="488"/>
      <c r="J99" s="488"/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88"/>
      <c r="AH99" s="488"/>
      <c r="AI99" s="488"/>
      <c r="AJ99" s="488"/>
      <c r="AK99" s="488"/>
      <c r="AL99" s="488"/>
      <c r="AM99" s="488"/>
      <c r="AN99" s="488"/>
      <c r="AO99" s="488"/>
      <c r="AP99" s="488"/>
      <c r="AQ99" s="488"/>
      <c r="AR99" s="488"/>
      <c r="AS99" s="488"/>
      <c r="AT99" s="488"/>
      <c r="AU99" s="488"/>
      <c r="AV99" s="488"/>
      <c r="AW99" s="488"/>
      <c r="AX99" s="488"/>
      <c r="AY99" s="488"/>
      <c r="AZ99" s="488"/>
      <c r="BA99" s="488"/>
      <c r="BB99" s="488"/>
      <c r="BC99" s="489"/>
      <c r="BD99" s="483"/>
      <c r="BE99" s="484"/>
      <c r="BF99" s="484"/>
      <c r="BG99" s="484"/>
      <c r="BH99" s="484"/>
      <c r="BI99" s="484"/>
      <c r="BJ99" s="484"/>
      <c r="BK99" s="484"/>
      <c r="BL99" s="484"/>
      <c r="BM99" s="484"/>
      <c r="BN99" s="484"/>
      <c r="BO99" s="484"/>
      <c r="BP99" s="484"/>
      <c r="BQ99" s="484"/>
      <c r="BR99" s="484"/>
      <c r="BS99" s="485"/>
      <c r="BT99" s="416">
        <v>4</v>
      </c>
      <c r="BU99" s="416"/>
      <c r="BV99" s="416"/>
      <c r="BW99" s="416"/>
      <c r="BX99" s="416"/>
      <c r="BY99" s="416"/>
      <c r="BZ99" s="416"/>
      <c r="CA99" s="416"/>
      <c r="CB99" s="416"/>
      <c r="CC99" s="416"/>
      <c r="CD99" s="416"/>
      <c r="CE99" s="416"/>
      <c r="CF99" s="416"/>
      <c r="CG99" s="416"/>
      <c r="CH99" s="416"/>
      <c r="CI99" s="416"/>
      <c r="CJ99" s="486">
        <f>500000-100000</f>
        <v>400000</v>
      </c>
      <c r="CK99" s="486"/>
      <c r="CL99" s="486"/>
      <c r="CM99" s="486"/>
      <c r="CN99" s="486"/>
      <c r="CO99" s="486"/>
      <c r="CP99" s="486"/>
      <c r="CQ99" s="486"/>
      <c r="CR99" s="486"/>
      <c r="CS99" s="486"/>
      <c r="CT99" s="486"/>
      <c r="CU99" s="486"/>
      <c r="CV99" s="486"/>
      <c r="CW99" s="486"/>
      <c r="CX99" s="486"/>
      <c r="CY99" s="486"/>
      <c r="CZ99" s="486"/>
      <c r="DA99" s="486"/>
    </row>
    <row r="100" spans="1:162" s="82" customFormat="1" ht="17.25" customHeight="1">
      <c r="A100" s="416">
        <v>8</v>
      </c>
      <c r="B100" s="416"/>
      <c r="C100" s="416"/>
      <c r="D100" s="416"/>
      <c r="E100" s="416"/>
      <c r="F100" s="416"/>
      <c r="G100" s="416"/>
      <c r="H100" s="487" t="s">
        <v>388</v>
      </c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488"/>
      <c r="AL100" s="488"/>
      <c r="AM100" s="488"/>
      <c r="AN100" s="488"/>
      <c r="AO100" s="488"/>
      <c r="AP100" s="488"/>
      <c r="AQ100" s="488"/>
      <c r="AR100" s="488"/>
      <c r="AS100" s="488"/>
      <c r="AT100" s="488"/>
      <c r="AU100" s="488"/>
      <c r="AV100" s="488"/>
      <c r="AW100" s="488"/>
      <c r="AX100" s="488"/>
      <c r="AY100" s="488"/>
      <c r="AZ100" s="488"/>
      <c r="BA100" s="488"/>
      <c r="BB100" s="488"/>
      <c r="BC100" s="489"/>
      <c r="BD100" s="483"/>
      <c r="BE100" s="484"/>
      <c r="BF100" s="484"/>
      <c r="BG100" s="484"/>
      <c r="BH100" s="484"/>
      <c r="BI100" s="484"/>
      <c r="BJ100" s="484"/>
      <c r="BK100" s="484"/>
      <c r="BL100" s="484"/>
      <c r="BM100" s="484"/>
      <c r="BN100" s="484"/>
      <c r="BO100" s="484"/>
      <c r="BP100" s="484"/>
      <c r="BQ100" s="484"/>
      <c r="BR100" s="484"/>
      <c r="BS100" s="485"/>
      <c r="BT100" s="416">
        <v>4</v>
      </c>
      <c r="BU100" s="416"/>
      <c r="BV100" s="416"/>
      <c r="BW100" s="416"/>
      <c r="BX100" s="416"/>
      <c r="BY100" s="416"/>
      <c r="BZ100" s="416"/>
      <c r="CA100" s="416"/>
      <c r="CB100" s="416"/>
      <c r="CC100" s="416"/>
      <c r="CD100" s="416"/>
      <c r="CE100" s="416"/>
      <c r="CF100" s="416"/>
      <c r="CG100" s="416"/>
      <c r="CH100" s="416"/>
      <c r="CI100" s="416"/>
      <c r="CJ100" s="486">
        <f>200000-20000</f>
        <v>180000</v>
      </c>
      <c r="CK100" s="486"/>
      <c r="CL100" s="486"/>
      <c r="CM100" s="486"/>
      <c r="CN100" s="486"/>
      <c r="CO100" s="486"/>
      <c r="CP100" s="486"/>
      <c r="CQ100" s="486"/>
      <c r="CR100" s="486"/>
      <c r="CS100" s="486"/>
      <c r="CT100" s="486"/>
      <c r="CU100" s="486"/>
      <c r="CV100" s="486"/>
      <c r="CW100" s="486"/>
      <c r="CX100" s="486"/>
      <c r="CY100" s="486"/>
      <c r="CZ100" s="486"/>
      <c r="DA100" s="486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</row>
    <row r="101" spans="1:162" s="83" customFormat="1" ht="15">
      <c r="A101" s="416">
        <v>9</v>
      </c>
      <c r="B101" s="416"/>
      <c r="C101" s="416"/>
      <c r="D101" s="416"/>
      <c r="E101" s="416"/>
      <c r="F101" s="416"/>
      <c r="G101" s="416"/>
      <c r="H101" s="487" t="s">
        <v>389</v>
      </c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88"/>
      <c r="AH101" s="488"/>
      <c r="AI101" s="488"/>
      <c r="AJ101" s="488"/>
      <c r="AK101" s="488"/>
      <c r="AL101" s="488"/>
      <c r="AM101" s="488"/>
      <c r="AN101" s="488"/>
      <c r="AO101" s="488"/>
      <c r="AP101" s="488"/>
      <c r="AQ101" s="488"/>
      <c r="AR101" s="488"/>
      <c r="AS101" s="488"/>
      <c r="AT101" s="488"/>
      <c r="AU101" s="488"/>
      <c r="AV101" s="488"/>
      <c r="AW101" s="488"/>
      <c r="AX101" s="488"/>
      <c r="AY101" s="488"/>
      <c r="AZ101" s="488"/>
      <c r="BA101" s="488"/>
      <c r="BB101" s="488"/>
      <c r="BC101" s="489"/>
      <c r="BD101" s="483"/>
      <c r="BE101" s="484"/>
      <c r="BF101" s="484"/>
      <c r="BG101" s="484"/>
      <c r="BH101" s="484"/>
      <c r="BI101" s="484"/>
      <c r="BJ101" s="484"/>
      <c r="BK101" s="484"/>
      <c r="BL101" s="484"/>
      <c r="BM101" s="484"/>
      <c r="BN101" s="484"/>
      <c r="BO101" s="484"/>
      <c r="BP101" s="484"/>
      <c r="BQ101" s="484"/>
      <c r="BR101" s="484"/>
      <c r="BS101" s="485"/>
      <c r="BT101" s="416">
        <v>12</v>
      </c>
      <c r="BU101" s="416"/>
      <c r="BV101" s="416"/>
      <c r="BW101" s="416"/>
      <c r="BX101" s="416"/>
      <c r="BY101" s="416"/>
      <c r="BZ101" s="416"/>
      <c r="CA101" s="416"/>
      <c r="CB101" s="416"/>
      <c r="CC101" s="416"/>
      <c r="CD101" s="416"/>
      <c r="CE101" s="416"/>
      <c r="CF101" s="416"/>
      <c r="CG101" s="416"/>
      <c r="CH101" s="416"/>
      <c r="CI101" s="416"/>
      <c r="CJ101" s="486">
        <f>450000-50000</f>
        <v>400000</v>
      </c>
      <c r="CK101" s="486"/>
      <c r="CL101" s="486"/>
      <c r="CM101" s="486"/>
      <c r="CN101" s="486"/>
      <c r="CO101" s="486"/>
      <c r="CP101" s="486"/>
      <c r="CQ101" s="486"/>
      <c r="CR101" s="486"/>
      <c r="CS101" s="486"/>
      <c r="CT101" s="486"/>
      <c r="CU101" s="486"/>
      <c r="CV101" s="486"/>
      <c r="CW101" s="486"/>
      <c r="CX101" s="486"/>
      <c r="CY101" s="486"/>
      <c r="CZ101" s="486"/>
      <c r="DA101" s="486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</row>
    <row r="102" spans="1:162" s="84" customFormat="1" ht="15" customHeight="1">
      <c r="A102" s="416">
        <v>10</v>
      </c>
      <c r="B102" s="416"/>
      <c r="C102" s="416"/>
      <c r="D102" s="416"/>
      <c r="E102" s="416"/>
      <c r="F102" s="416"/>
      <c r="G102" s="416"/>
      <c r="H102" s="487" t="s">
        <v>390</v>
      </c>
      <c r="I102" s="488"/>
      <c r="J102" s="488"/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88"/>
      <c r="AH102" s="488"/>
      <c r="AI102" s="488"/>
      <c r="AJ102" s="488"/>
      <c r="AK102" s="488"/>
      <c r="AL102" s="488"/>
      <c r="AM102" s="488"/>
      <c r="AN102" s="488"/>
      <c r="AO102" s="488"/>
      <c r="AP102" s="488"/>
      <c r="AQ102" s="488"/>
      <c r="AR102" s="488"/>
      <c r="AS102" s="488"/>
      <c r="AT102" s="488"/>
      <c r="AU102" s="488"/>
      <c r="AV102" s="488"/>
      <c r="AW102" s="488"/>
      <c r="AX102" s="488"/>
      <c r="AY102" s="488"/>
      <c r="AZ102" s="488"/>
      <c r="BA102" s="488"/>
      <c r="BB102" s="488"/>
      <c r="BC102" s="489"/>
      <c r="BD102" s="483"/>
      <c r="BE102" s="484"/>
      <c r="BF102" s="484"/>
      <c r="BG102" s="484"/>
      <c r="BH102" s="484"/>
      <c r="BI102" s="484"/>
      <c r="BJ102" s="484"/>
      <c r="BK102" s="484"/>
      <c r="BL102" s="484"/>
      <c r="BM102" s="484"/>
      <c r="BN102" s="484"/>
      <c r="BO102" s="484"/>
      <c r="BP102" s="484"/>
      <c r="BQ102" s="484"/>
      <c r="BR102" s="484"/>
      <c r="BS102" s="485"/>
      <c r="BT102" s="416">
        <v>4</v>
      </c>
      <c r="BU102" s="416"/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6"/>
      <c r="CI102" s="416"/>
      <c r="CJ102" s="486">
        <v>100000</v>
      </c>
      <c r="CK102" s="486"/>
      <c r="CL102" s="486"/>
      <c r="CM102" s="486"/>
      <c r="CN102" s="486"/>
      <c r="CO102" s="486"/>
      <c r="CP102" s="486"/>
      <c r="CQ102" s="486"/>
      <c r="CR102" s="486"/>
      <c r="CS102" s="486"/>
      <c r="CT102" s="486"/>
      <c r="CU102" s="486"/>
      <c r="CV102" s="486"/>
      <c r="CW102" s="486"/>
      <c r="CX102" s="486"/>
      <c r="CY102" s="486"/>
      <c r="CZ102" s="486"/>
      <c r="DA102" s="486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</row>
    <row r="103" spans="1:162" s="84" customFormat="1" ht="15" customHeight="1">
      <c r="A103" s="416">
        <v>11</v>
      </c>
      <c r="B103" s="416"/>
      <c r="C103" s="416"/>
      <c r="D103" s="416"/>
      <c r="E103" s="416"/>
      <c r="F103" s="416"/>
      <c r="G103" s="416"/>
      <c r="H103" s="487" t="s">
        <v>391</v>
      </c>
      <c r="I103" s="488"/>
      <c r="J103" s="488"/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88"/>
      <c r="AH103" s="488"/>
      <c r="AI103" s="488"/>
      <c r="AJ103" s="488"/>
      <c r="AK103" s="488"/>
      <c r="AL103" s="488"/>
      <c r="AM103" s="488"/>
      <c r="AN103" s="488"/>
      <c r="AO103" s="488"/>
      <c r="AP103" s="488"/>
      <c r="AQ103" s="488"/>
      <c r="AR103" s="488"/>
      <c r="AS103" s="488"/>
      <c r="AT103" s="488"/>
      <c r="AU103" s="488"/>
      <c r="AV103" s="488"/>
      <c r="AW103" s="488"/>
      <c r="AX103" s="488"/>
      <c r="AY103" s="488"/>
      <c r="AZ103" s="488"/>
      <c r="BA103" s="488"/>
      <c r="BB103" s="488"/>
      <c r="BC103" s="489"/>
      <c r="BD103" s="483"/>
      <c r="BE103" s="484"/>
      <c r="BF103" s="484"/>
      <c r="BG103" s="484"/>
      <c r="BH103" s="484"/>
      <c r="BI103" s="484"/>
      <c r="BJ103" s="484"/>
      <c r="BK103" s="484"/>
      <c r="BL103" s="484"/>
      <c r="BM103" s="484"/>
      <c r="BN103" s="484"/>
      <c r="BO103" s="484"/>
      <c r="BP103" s="484"/>
      <c r="BQ103" s="484"/>
      <c r="BR103" s="484"/>
      <c r="BS103" s="485"/>
      <c r="BT103" s="416">
        <v>4</v>
      </c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6"/>
      <c r="CH103" s="416"/>
      <c r="CI103" s="416"/>
      <c r="CJ103" s="486">
        <v>200000</v>
      </c>
      <c r="CK103" s="486"/>
      <c r="CL103" s="486"/>
      <c r="CM103" s="486"/>
      <c r="CN103" s="486"/>
      <c r="CO103" s="486"/>
      <c r="CP103" s="486"/>
      <c r="CQ103" s="486"/>
      <c r="CR103" s="486"/>
      <c r="CS103" s="486"/>
      <c r="CT103" s="486"/>
      <c r="CU103" s="486"/>
      <c r="CV103" s="486"/>
      <c r="CW103" s="486"/>
      <c r="CX103" s="486"/>
      <c r="CY103" s="486"/>
      <c r="CZ103" s="486"/>
      <c r="DA103" s="486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</row>
    <row r="104" spans="1:162" s="84" customFormat="1" ht="15" customHeight="1">
      <c r="A104" s="416">
        <v>13</v>
      </c>
      <c r="B104" s="416"/>
      <c r="C104" s="416"/>
      <c r="D104" s="416"/>
      <c r="E104" s="416"/>
      <c r="F104" s="416"/>
      <c r="G104" s="416"/>
      <c r="H104" s="487" t="s">
        <v>392</v>
      </c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488"/>
      <c r="AM104" s="488"/>
      <c r="AN104" s="488"/>
      <c r="AO104" s="488"/>
      <c r="AP104" s="488"/>
      <c r="AQ104" s="488"/>
      <c r="AR104" s="488"/>
      <c r="AS104" s="488"/>
      <c r="AT104" s="488"/>
      <c r="AU104" s="488"/>
      <c r="AV104" s="488"/>
      <c r="AW104" s="488"/>
      <c r="AX104" s="488"/>
      <c r="AY104" s="488"/>
      <c r="AZ104" s="488"/>
      <c r="BA104" s="488"/>
      <c r="BB104" s="488"/>
      <c r="BC104" s="489"/>
      <c r="BD104" s="483"/>
      <c r="BE104" s="484"/>
      <c r="BF104" s="484"/>
      <c r="BG104" s="484"/>
      <c r="BH104" s="484"/>
      <c r="BI104" s="484"/>
      <c r="BJ104" s="484"/>
      <c r="BK104" s="484"/>
      <c r="BL104" s="484"/>
      <c r="BM104" s="484"/>
      <c r="BN104" s="484"/>
      <c r="BO104" s="484"/>
      <c r="BP104" s="484"/>
      <c r="BQ104" s="484"/>
      <c r="BR104" s="484"/>
      <c r="BS104" s="485"/>
      <c r="BT104" s="416">
        <v>2</v>
      </c>
      <c r="BU104" s="416"/>
      <c r="BV104" s="416"/>
      <c r="BW104" s="416"/>
      <c r="BX104" s="416"/>
      <c r="BY104" s="416"/>
      <c r="BZ104" s="416"/>
      <c r="CA104" s="416"/>
      <c r="CB104" s="416"/>
      <c r="CC104" s="416"/>
      <c r="CD104" s="416"/>
      <c r="CE104" s="416"/>
      <c r="CF104" s="416"/>
      <c r="CG104" s="416"/>
      <c r="CH104" s="416"/>
      <c r="CI104" s="416"/>
      <c r="CJ104" s="486">
        <f>500000-150000</f>
        <v>350000</v>
      </c>
      <c r="CK104" s="486"/>
      <c r="CL104" s="486"/>
      <c r="CM104" s="486"/>
      <c r="CN104" s="486"/>
      <c r="CO104" s="486"/>
      <c r="CP104" s="486"/>
      <c r="CQ104" s="486"/>
      <c r="CR104" s="486"/>
      <c r="CS104" s="486"/>
      <c r="CT104" s="486"/>
      <c r="CU104" s="486"/>
      <c r="CV104" s="486"/>
      <c r="CW104" s="486"/>
      <c r="CX104" s="486"/>
      <c r="CY104" s="486"/>
      <c r="CZ104" s="486"/>
      <c r="DA104" s="486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</row>
    <row r="105" spans="1:105" ht="12" customHeight="1">
      <c r="A105" s="416">
        <v>14</v>
      </c>
      <c r="B105" s="416"/>
      <c r="C105" s="416"/>
      <c r="D105" s="416"/>
      <c r="E105" s="416"/>
      <c r="F105" s="416"/>
      <c r="G105" s="416"/>
      <c r="H105" s="487" t="s">
        <v>393</v>
      </c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88"/>
      <c r="AH105" s="488"/>
      <c r="AI105" s="488"/>
      <c r="AJ105" s="488"/>
      <c r="AK105" s="488"/>
      <c r="AL105" s="488"/>
      <c r="AM105" s="488"/>
      <c r="AN105" s="488"/>
      <c r="AO105" s="488"/>
      <c r="AP105" s="488"/>
      <c r="AQ105" s="488"/>
      <c r="AR105" s="488"/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9"/>
      <c r="BD105" s="483"/>
      <c r="BE105" s="484"/>
      <c r="BF105" s="484"/>
      <c r="BG105" s="484"/>
      <c r="BH105" s="484"/>
      <c r="BI105" s="484"/>
      <c r="BJ105" s="484"/>
      <c r="BK105" s="484"/>
      <c r="BL105" s="484"/>
      <c r="BM105" s="484"/>
      <c r="BN105" s="484"/>
      <c r="BO105" s="484"/>
      <c r="BP105" s="484"/>
      <c r="BQ105" s="484"/>
      <c r="BR105" s="484"/>
      <c r="BS105" s="485"/>
      <c r="BT105" s="416">
        <v>12</v>
      </c>
      <c r="BU105" s="416"/>
      <c r="BV105" s="416"/>
      <c r="BW105" s="416"/>
      <c r="BX105" s="416"/>
      <c r="BY105" s="416"/>
      <c r="BZ105" s="416"/>
      <c r="CA105" s="416"/>
      <c r="CB105" s="416"/>
      <c r="CC105" s="416"/>
      <c r="CD105" s="416"/>
      <c r="CE105" s="416"/>
      <c r="CF105" s="416"/>
      <c r="CG105" s="416"/>
      <c r="CH105" s="416"/>
      <c r="CI105" s="416"/>
      <c r="CJ105" s="486">
        <v>200000</v>
      </c>
      <c r="CK105" s="486"/>
      <c r="CL105" s="486"/>
      <c r="CM105" s="486"/>
      <c r="CN105" s="486"/>
      <c r="CO105" s="486"/>
      <c r="CP105" s="486"/>
      <c r="CQ105" s="486"/>
      <c r="CR105" s="486"/>
      <c r="CS105" s="486"/>
      <c r="CT105" s="486"/>
      <c r="CU105" s="486"/>
      <c r="CV105" s="486"/>
      <c r="CW105" s="486"/>
      <c r="CX105" s="486"/>
      <c r="CY105" s="486"/>
      <c r="CZ105" s="486"/>
      <c r="DA105" s="486"/>
    </row>
    <row r="106" spans="1:162" s="80" customFormat="1" ht="15">
      <c r="A106" s="416">
        <v>15</v>
      </c>
      <c r="B106" s="416"/>
      <c r="C106" s="416"/>
      <c r="D106" s="416"/>
      <c r="E106" s="416"/>
      <c r="F106" s="416"/>
      <c r="G106" s="416"/>
      <c r="H106" s="487" t="s">
        <v>394</v>
      </c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  <c r="AI106" s="488"/>
      <c r="AJ106" s="488"/>
      <c r="AK106" s="488"/>
      <c r="AL106" s="488"/>
      <c r="AM106" s="488"/>
      <c r="AN106" s="488"/>
      <c r="AO106" s="488"/>
      <c r="AP106" s="488"/>
      <c r="AQ106" s="488"/>
      <c r="AR106" s="488"/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9"/>
      <c r="BD106" s="483"/>
      <c r="BE106" s="484"/>
      <c r="BF106" s="484"/>
      <c r="BG106" s="484"/>
      <c r="BH106" s="484"/>
      <c r="BI106" s="484"/>
      <c r="BJ106" s="484"/>
      <c r="BK106" s="484"/>
      <c r="BL106" s="484"/>
      <c r="BM106" s="484"/>
      <c r="BN106" s="484"/>
      <c r="BO106" s="484"/>
      <c r="BP106" s="484"/>
      <c r="BQ106" s="484"/>
      <c r="BR106" s="484"/>
      <c r="BS106" s="485"/>
      <c r="BT106" s="416">
        <v>1</v>
      </c>
      <c r="BU106" s="416"/>
      <c r="BV106" s="416"/>
      <c r="BW106" s="416"/>
      <c r="BX106" s="416"/>
      <c r="BY106" s="416"/>
      <c r="BZ106" s="416"/>
      <c r="CA106" s="416"/>
      <c r="CB106" s="416"/>
      <c r="CC106" s="416"/>
      <c r="CD106" s="416"/>
      <c r="CE106" s="416"/>
      <c r="CF106" s="416"/>
      <c r="CG106" s="416"/>
      <c r="CH106" s="416"/>
      <c r="CI106" s="416"/>
      <c r="CJ106" s="486">
        <v>9000000</v>
      </c>
      <c r="CK106" s="486"/>
      <c r="CL106" s="486"/>
      <c r="CM106" s="486"/>
      <c r="CN106" s="486"/>
      <c r="CO106" s="486"/>
      <c r="CP106" s="486"/>
      <c r="CQ106" s="486"/>
      <c r="CR106" s="486"/>
      <c r="CS106" s="486"/>
      <c r="CT106" s="486"/>
      <c r="CU106" s="486"/>
      <c r="CV106" s="486"/>
      <c r="CW106" s="486"/>
      <c r="CX106" s="486"/>
      <c r="CY106" s="486"/>
      <c r="CZ106" s="486"/>
      <c r="DA106" s="486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</row>
    <row r="107" spans="1:105" ht="18.75" customHeight="1">
      <c r="A107" s="416">
        <v>16</v>
      </c>
      <c r="B107" s="416"/>
      <c r="C107" s="416"/>
      <c r="D107" s="416"/>
      <c r="E107" s="416"/>
      <c r="F107" s="416"/>
      <c r="G107" s="416"/>
      <c r="H107" s="487" t="s">
        <v>395</v>
      </c>
      <c r="I107" s="488"/>
      <c r="J107" s="488"/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88"/>
      <c r="AH107" s="488"/>
      <c r="AI107" s="488"/>
      <c r="AJ107" s="488"/>
      <c r="AK107" s="488"/>
      <c r="AL107" s="488"/>
      <c r="AM107" s="488"/>
      <c r="AN107" s="488"/>
      <c r="AO107" s="488"/>
      <c r="AP107" s="488"/>
      <c r="AQ107" s="488"/>
      <c r="AR107" s="488"/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9"/>
      <c r="BD107" s="483"/>
      <c r="BE107" s="484"/>
      <c r="BF107" s="484"/>
      <c r="BG107" s="484"/>
      <c r="BH107" s="484"/>
      <c r="BI107" s="484"/>
      <c r="BJ107" s="484"/>
      <c r="BK107" s="484"/>
      <c r="BL107" s="484"/>
      <c r="BM107" s="484"/>
      <c r="BN107" s="484"/>
      <c r="BO107" s="484"/>
      <c r="BP107" s="484"/>
      <c r="BQ107" s="484"/>
      <c r="BR107" s="484"/>
      <c r="BS107" s="485"/>
      <c r="BT107" s="416">
        <v>12</v>
      </c>
      <c r="BU107" s="416"/>
      <c r="BV107" s="416"/>
      <c r="BW107" s="416"/>
      <c r="BX107" s="416"/>
      <c r="BY107" s="416"/>
      <c r="BZ107" s="416"/>
      <c r="CA107" s="416"/>
      <c r="CB107" s="416"/>
      <c r="CC107" s="416"/>
      <c r="CD107" s="416"/>
      <c r="CE107" s="416"/>
      <c r="CF107" s="416"/>
      <c r="CG107" s="416"/>
      <c r="CH107" s="416"/>
      <c r="CI107" s="416"/>
      <c r="CJ107" s="486">
        <v>200000</v>
      </c>
      <c r="CK107" s="486"/>
      <c r="CL107" s="486"/>
      <c r="CM107" s="486"/>
      <c r="CN107" s="486"/>
      <c r="CO107" s="486"/>
      <c r="CP107" s="486"/>
      <c r="CQ107" s="486"/>
      <c r="CR107" s="486"/>
      <c r="CS107" s="486"/>
      <c r="CT107" s="486"/>
      <c r="CU107" s="486"/>
      <c r="CV107" s="486"/>
      <c r="CW107" s="486"/>
      <c r="CX107" s="486"/>
      <c r="CY107" s="486"/>
      <c r="CZ107" s="486"/>
      <c r="DA107" s="486"/>
    </row>
    <row r="108" spans="1:105" ht="15.75" customHeight="1">
      <c r="A108" s="416">
        <v>17</v>
      </c>
      <c r="B108" s="416"/>
      <c r="C108" s="416"/>
      <c r="D108" s="416"/>
      <c r="E108" s="416"/>
      <c r="F108" s="416"/>
      <c r="G108" s="416"/>
      <c r="H108" s="487" t="s">
        <v>396</v>
      </c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8"/>
      <c r="AL108" s="488"/>
      <c r="AM108" s="488"/>
      <c r="AN108" s="488"/>
      <c r="AO108" s="488"/>
      <c r="AP108" s="488"/>
      <c r="AQ108" s="488"/>
      <c r="AR108" s="488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9"/>
      <c r="BD108" s="483"/>
      <c r="BE108" s="484"/>
      <c r="BF108" s="484"/>
      <c r="BG108" s="484"/>
      <c r="BH108" s="484"/>
      <c r="BI108" s="484"/>
      <c r="BJ108" s="484"/>
      <c r="BK108" s="484"/>
      <c r="BL108" s="484"/>
      <c r="BM108" s="484"/>
      <c r="BN108" s="484"/>
      <c r="BO108" s="484"/>
      <c r="BP108" s="484"/>
      <c r="BQ108" s="484"/>
      <c r="BR108" s="484"/>
      <c r="BS108" s="485"/>
      <c r="BT108" s="416">
        <v>4</v>
      </c>
      <c r="BU108" s="416"/>
      <c r="BV108" s="416"/>
      <c r="BW108" s="416"/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86">
        <v>300000</v>
      </c>
      <c r="CK108" s="486"/>
      <c r="CL108" s="486"/>
      <c r="CM108" s="486"/>
      <c r="CN108" s="486"/>
      <c r="CO108" s="486"/>
      <c r="CP108" s="486"/>
      <c r="CQ108" s="486"/>
      <c r="CR108" s="486"/>
      <c r="CS108" s="486"/>
      <c r="CT108" s="486"/>
      <c r="CU108" s="486"/>
      <c r="CV108" s="486"/>
      <c r="CW108" s="486"/>
      <c r="CX108" s="486"/>
      <c r="CY108" s="486"/>
      <c r="CZ108" s="486"/>
      <c r="DA108" s="486"/>
    </row>
    <row r="109" spans="1:162" s="86" customFormat="1" ht="15">
      <c r="A109" s="416">
        <v>18</v>
      </c>
      <c r="B109" s="416"/>
      <c r="C109" s="416"/>
      <c r="D109" s="416"/>
      <c r="E109" s="416"/>
      <c r="F109" s="416"/>
      <c r="G109" s="416"/>
      <c r="H109" s="487" t="s">
        <v>397</v>
      </c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9"/>
      <c r="BD109" s="483"/>
      <c r="BE109" s="484"/>
      <c r="BF109" s="484"/>
      <c r="BG109" s="484"/>
      <c r="BH109" s="484"/>
      <c r="BI109" s="484"/>
      <c r="BJ109" s="484"/>
      <c r="BK109" s="484"/>
      <c r="BL109" s="484"/>
      <c r="BM109" s="484"/>
      <c r="BN109" s="484"/>
      <c r="BO109" s="484"/>
      <c r="BP109" s="484"/>
      <c r="BQ109" s="484"/>
      <c r="BR109" s="484"/>
      <c r="BS109" s="485"/>
      <c r="BT109" s="416">
        <v>4</v>
      </c>
      <c r="BU109" s="416"/>
      <c r="BV109" s="416"/>
      <c r="BW109" s="416"/>
      <c r="BX109" s="416"/>
      <c r="BY109" s="416"/>
      <c r="BZ109" s="416"/>
      <c r="CA109" s="416"/>
      <c r="CB109" s="416"/>
      <c r="CC109" s="416"/>
      <c r="CD109" s="416"/>
      <c r="CE109" s="416"/>
      <c r="CF109" s="416"/>
      <c r="CG109" s="416"/>
      <c r="CH109" s="416"/>
      <c r="CI109" s="416"/>
      <c r="CJ109" s="486">
        <v>550000</v>
      </c>
      <c r="CK109" s="486"/>
      <c r="CL109" s="486"/>
      <c r="CM109" s="486"/>
      <c r="CN109" s="486"/>
      <c r="CO109" s="486"/>
      <c r="CP109" s="486"/>
      <c r="CQ109" s="486"/>
      <c r="CR109" s="486"/>
      <c r="CS109" s="486"/>
      <c r="CT109" s="486"/>
      <c r="CU109" s="486"/>
      <c r="CV109" s="486"/>
      <c r="CW109" s="486"/>
      <c r="CX109" s="486"/>
      <c r="CY109" s="486"/>
      <c r="CZ109" s="486"/>
      <c r="DA109" s="486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</row>
    <row r="110" spans="1:105" ht="15" customHeight="1">
      <c r="A110" s="416">
        <v>19</v>
      </c>
      <c r="B110" s="416"/>
      <c r="C110" s="416"/>
      <c r="D110" s="416"/>
      <c r="E110" s="416"/>
      <c r="F110" s="416"/>
      <c r="G110" s="416"/>
      <c r="H110" s="487" t="s">
        <v>398</v>
      </c>
      <c r="I110" s="488"/>
      <c r="J110" s="488"/>
      <c r="K110" s="488"/>
      <c r="L110" s="488"/>
      <c r="M110" s="488"/>
      <c r="N110" s="488"/>
      <c r="O110" s="488"/>
      <c r="P110" s="488"/>
      <c r="Q110" s="488"/>
      <c r="R110" s="488"/>
      <c r="S110" s="488"/>
      <c r="T110" s="488"/>
      <c r="U110" s="488"/>
      <c r="V110" s="488"/>
      <c r="W110" s="488"/>
      <c r="X110" s="488"/>
      <c r="Y110" s="488"/>
      <c r="Z110" s="488"/>
      <c r="AA110" s="488"/>
      <c r="AB110" s="488"/>
      <c r="AC110" s="488"/>
      <c r="AD110" s="488"/>
      <c r="AE110" s="488"/>
      <c r="AF110" s="488"/>
      <c r="AG110" s="488"/>
      <c r="AH110" s="488"/>
      <c r="AI110" s="488"/>
      <c r="AJ110" s="488"/>
      <c r="AK110" s="488"/>
      <c r="AL110" s="488"/>
      <c r="AM110" s="488"/>
      <c r="AN110" s="488"/>
      <c r="AO110" s="488"/>
      <c r="AP110" s="488"/>
      <c r="AQ110" s="488"/>
      <c r="AR110" s="488"/>
      <c r="AS110" s="488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9"/>
      <c r="BD110" s="483"/>
      <c r="BE110" s="484"/>
      <c r="BF110" s="484"/>
      <c r="BG110" s="484"/>
      <c r="BH110" s="484"/>
      <c r="BI110" s="484"/>
      <c r="BJ110" s="484"/>
      <c r="BK110" s="484"/>
      <c r="BL110" s="484"/>
      <c r="BM110" s="484"/>
      <c r="BN110" s="484"/>
      <c r="BO110" s="484"/>
      <c r="BP110" s="484"/>
      <c r="BQ110" s="484"/>
      <c r="BR110" s="484"/>
      <c r="BS110" s="485"/>
      <c r="BT110" s="416">
        <v>1</v>
      </c>
      <c r="BU110" s="416"/>
      <c r="BV110" s="416"/>
      <c r="BW110" s="416"/>
      <c r="BX110" s="416"/>
      <c r="BY110" s="416"/>
      <c r="BZ110" s="416"/>
      <c r="CA110" s="416"/>
      <c r="CB110" s="416"/>
      <c r="CC110" s="416"/>
      <c r="CD110" s="416"/>
      <c r="CE110" s="416"/>
      <c r="CF110" s="416"/>
      <c r="CG110" s="416"/>
      <c r="CH110" s="416"/>
      <c r="CI110" s="416"/>
      <c r="CJ110" s="486">
        <f>1500000-450000-180000</f>
        <v>870000</v>
      </c>
      <c r="CK110" s="486"/>
      <c r="CL110" s="486"/>
      <c r="CM110" s="486"/>
      <c r="CN110" s="486"/>
      <c r="CO110" s="486"/>
      <c r="CP110" s="486"/>
      <c r="CQ110" s="486"/>
      <c r="CR110" s="486"/>
      <c r="CS110" s="486"/>
      <c r="CT110" s="486"/>
      <c r="CU110" s="486"/>
      <c r="CV110" s="486"/>
      <c r="CW110" s="486"/>
      <c r="CX110" s="486"/>
      <c r="CY110" s="486"/>
      <c r="CZ110" s="486"/>
      <c r="DA110" s="486"/>
    </row>
    <row r="111" spans="1:105" ht="15" customHeight="1">
      <c r="A111" s="416">
        <v>20</v>
      </c>
      <c r="B111" s="416"/>
      <c r="C111" s="416"/>
      <c r="D111" s="416"/>
      <c r="E111" s="416"/>
      <c r="F111" s="416"/>
      <c r="G111" s="416"/>
      <c r="H111" s="487" t="s">
        <v>399</v>
      </c>
      <c r="I111" s="488"/>
      <c r="J111" s="488"/>
      <c r="K111" s="488"/>
      <c r="L111" s="488"/>
      <c r="M111" s="488"/>
      <c r="N111" s="488"/>
      <c r="O111" s="488"/>
      <c r="P111" s="488"/>
      <c r="Q111" s="488"/>
      <c r="R111" s="488"/>
      <c r="S111" s="488"/>
      <c r="T111" s="488"/>
      <c r="U111" s="488"/>
      <c r="V111" s="488"/>
      <c r="W111" s="488"/>
      <c r="X111" s="488"/>
      <c r="Y111" s="488"/>
      <c r="Z111" s="488"/>
      <c r="AA111" s="488"/>
      <c r="AB111" s="488"/>
      <c r="AC111" s="488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8"/>
      <c r="AQ111" s="488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9"/>
      <c r="BD111" s="483"/>
      <c r="BE111" s="484"/>
      <c r="BF111" s="484"/>
      <c r="BG111" s="484"/>
      <c r="BH111" s="484"/>
      <c r="BI111" s="484"/>
      <c r="BJ111" s="484"/>
      <c r="BK111" s="484"/>
      <c r="BL111" s="484"/>
      <c r="BM111" s="484"/>
      <c r="BN111" s="484"/>
      <c r="BO111" s="484"/>
      <c r="BP111" s="484"/>
      <c r="BQ111" s="484"/>
      <c r="BR111" s="484"/>
      <c r="BS111" s="485"/>
      <c r="BT111" s="416">
        <v>4</v>
      </c>
      <c r="BU111" s="416"/>
      <c r="BV111" s="416"/>
      <c r="BW111" s="416"/>
      <c r="BX111" s="416"/>
      <c r="BY111" s="416"/>
      <c r="BZ111" s="416"/>
      <c r="CA111" s="416"/>
      <c r="CB111" s="416"/>
      <c r="CC111" s="416"/>
      <c r="CD111" s="416"/>
      <c r="CE111" s="416"/>
      <c r="CF111" s="416"/>
      <c r="CG111" s="416"/>
      <c r="CH111" s="416"/>
      <c r="CI111" s="416"/>
      <c r="CJ111" s="486">
        <v>300000</v>
      </c>
      <c r="CK111" s="486"/>
      <c r="CL111" s="486"/>
      <c r="CM111" s="486"/>
      <c r="CN111" s="486"/>
      <c r="CO111" s="486"/>
      <c r="CP111" s="486"/>
      <c r="CQ111" s="486"/>
      <c r="CR111" s="486"/>
      <c r="CS111" s="486"/>
      <c r="CT111" s="486"/>
      <c r="CU111" s="486"/>
      <c r="CV111" s="486"/>
      <c r="CW111" s="486"/>
      <c r="CX111" s="486"/>
      <c r="CY111" s="486"/>
      <c r="CZ111" s="486"/>
      <c r="DA111" s="486"/>
    </row>
    <row r="112" spans="1:105" ht="15" customHeight="1">
      <c r="A112" s="416">
        <v>21</v>
      </c>
      <c r="B112" s="416"/>
      <c r="C112" s="416"/>
      <c r="D112" s="416"/>
      <c r="E112" s="416"/>
      <c r="F112" s="416"/>
      <c r="G112" s="416"/>
      <c r="H112" s="487" t="s">
        <v>400</v>
      </c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488"/>
      <c r="AE112" s="488"/>
      <c r="AF112" s="488"/>
      <c r="AG112" s="488"/>
      <c r="AH112" s="488"/>
      <c r="AI112" s="488"/>
      <c r="AJ112" s="488"/>
      <c r="AK112" s="488"/>
      <c r="AL112" s="488"/>
      <c r="AM112" s="488"/>
      <c r="AN112" s="488"/>
      <c r="AO112" s="488"/>
      <c r="AP112" s="488"/>
      <c r="AQ112" s="488"/>
      <c r="AR112" s="488"/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9"/>
      <c r="BD112" s="483"/>
      <c r="BE112" s="484"/>
      <c r="BF112" s="484"/>
      <c r="BG112" s="484"/>
      <c r="BH112" s="484"/>
      <c r="BI112" s="484"/>
      <c r="BJ112" s="484"/>
      <c r="BK112" s="484"/>
      <c r="BL112" s="484"/>
      <c r="BM112" s="484"/>
      <c r="BN112" s="484"/>
      <c r="BO112" s="484"/>
      <c r="BP112" s="484"/>
      <c r="BQ112" s="484"/>
      <c r="BR112" s="484"/>
      <c r="BS112" s="485"/>
      <c r="BT112" s="416">
        <v>1</v>
      </c>
      <c r="BU112" s="416"/>
      <c r="BV112" s="416"/>
      <c r="BW112" s="416"/>
      <c r="BX112" s="416"/>
      <c r="BY112" s="416"/>
      <c r="BZ112" s="416"/>
      <c r="CA112" s="416"/>
      <c r="CB112" s="416"/>
      <c r="CC112" s="416"/>
      <c r="CD112" s="416"/>
      <c r="CE112" s="416"/>
      <c r="CF112" s="416"/>
      <c r="CG112" s="416"/>
      <c r="CH112" s="416"/>
      <c r="CI112" s="416"/>
      <c r="CJ112" s="486">
        <v>1200000</v>
      </c>
      <c r="CK112" s="486"/>
      <c r="CL112" s="486"/>
      <c r="CM112" s="486"/>
      <c r="CN112" s="486"/>
      <c r="CO112" s="486"/>
      <c r="CP112" s="486"/>
      <c r="CQ112" s="486"/>
      <c r="CR112" s="486"/>
      <c r="CS112" s="486"/>
      <c r="CT112" s="486"/>
      <c r="CU112" s="486"/>
      <c r="CV112" s="486"/>
      <c r="CW112" s="486"/>
      <c r="CX112" s="486"/>
      <c r="CY112" s="486"/>
      <c r="CZ112" s="486"/>
      <c r="DA112" s="486"/>
    </row>
    <row r="113" spans="1:105" ht="12" customHeight="1">
      <c r="A113" s="416">
        <v>22</v>
      </c>
      <c r="B113" s="416"/>
      <c r="C113" s="416"/>
      <c r="D113" s="416"/>
      <c r="E113" s="416"/>
      <c r="F113" s="416"/>
      <c r="G113" s="416"/>
      <c r="H113" s="487" t="s">
        <v>401</v>
      </c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488"/>
      <c r="AQ113" s="488"/>
      <c r="AR113" s="488"/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9"/>
      <c r="BD113" s="483"/>
      <c r="BE113" s="484"/>
      <c r="BF113" s="484"/>
      <c r="BG113" s="484"/>
      <c r="BH113" s="484"/>
      <c r="BI113" s="484"/>
      <c r="BJ113" s="484"/>
      <c r="BK113" s="484"/>
      <c r="BL113" s="484"/>
      <c r="BM113" s="484"/>
      <c r="BN113" s="484"/>
      <c r="BO113" s="484"/>
      <c r="BP113" s="484"/>
      <c r="BQ113" s="484"/>
      <c r="BR113" s="484"/>
      <c r="BS113" s="485"/>
      <c r="BT113" s="416">
        <v>2</v>
      </c>
      <c r="BU113" s="416"/>
      <c r="BV113" s="416"/>
      <c r="BW113" s="416"/>
      <c r="BX113" s="416"/>
      <c r="BY113" s="416"/>
      <c r="BZ113" s="416"/>
      <c r="CA113" s="416"/>
      <c r="CB113" s="416"/>
      <c r="CC113" s="416"/>
      <c r="CD113" s="416"/>
      <c r="CE113" s="416"/>
      <c r="CF113" s="416"/>
      <c r="CG113" s="416"/>
      <c r="CH113" s="416"/>
      <c r="CI113" s="416"/>
      <c r="CJ113" s="486">
        <v>200000</v>
      </c>
      <c r="CK113" s="486"/>
      <c r="CL113" s="486"/>
      <c r="CM113" s="486"/>
      <c r="CN113" s="486"/>
      <c r="CO113" s="486"/>
      <c r="CP113" s="486"/>
      <c r="CQ113" s="486"/>
      <c r="CR113" s="486"/>
      <c r="CS113" s="486"/>
      <c r="CT113" s="486"/>
      <c r="CU113" s="486"/>
      <c r="CV113" s="486"/>
      <c r="CW113" s="486"/>
      <c r="CX113" s="486"/>
      <c r="CY113" s="486"/>
      <c r="CZ113" s="486"/>
      <c r="DA113" s="486"/>
    </row>
    <row r="114" spans="1:162" s="80" customFormat="1" ht="28.5" customHeight="1">
      <c r="A114" s="416">
        <v>23</v>
      </c>
      <c r="B114" s="416"/>
      <c r="C114" s="416"/>
      <c r="D114" s="416"/>
      <c r="E114" s="416"/>
      <c r="F114" s="416"/>
      <c r="G114" s="416"/>
      <c r="H114" s="487" t="s">
        <v>402</v>
      </c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488"/>
      <c r="AM114" s="488"/>
      <c r="AN114" s="488"/>
      <c r="AO114" s="488"/>
      <c r="AP114" s="488"/>
      <c r="AQ114" s="488"/>
      <c r="AR114" s="488"/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9"/>
      <c r="BD114" s="483"/>
      <c r="BE114" s="484"/>
      <c r="BF114" s="484"/>
      <c r="BG114" s="484"/>
      <c r="BH114" s="484"/>
      <c r="BI114" s="484"/>
      <c r="BJ114" s="484"/>
      <c r="BK114" s="484"/>
      <c r="BL114" s="484"/>
      <c r="BM114" s="484"/>
      <c r="BN114" s="484"/>
      <c r="BO114" s="484"/>
      <c r="BP114" s="484"/>
      <c r="BQ114" s="484"/>
      <c r="BR114" s="484"/>
      <c r="BS114" s="485"/>
      <c r="BT114" s="416">
        <v>2</v>
      </c>
      <c r="BU114" s="416"/>
      <c r="BV114" s="416"/>
      <c r="BW114" s="416"/>
      <c r="BX114" s="416"/>
      <c r="BY114" s="416"/>
      <c r="BZ114" s="416"/>
      <c r="CA114" s="416"/>
      <c r="CB114" s="416"/>
      <c r="CC114" s="416"/>
      <c r="CD114" s="416"/>
      <c r="CE114" s="416"/>
      <c r="CF114" s="416"/>
      <c r="CG114" s="416"/>
      <c r="CH114" s="416"/>
      <c r="CI114" s="416"/>
      <c r="CJ114" s="486">
        <v>250000</v>
      </c>
      <c r="CK114" s="486"/>
      <c r="CL114" s="486"/>
      <c r="CM114" s="486"/>
      <c r="CN114" s="486"/>
      <c r="CO114" s="486"/>
      <c r="CP114" s="486"/>
      <c r="CQ114" s="486"/>
      <c r="CR114" s="486"/>
      <c r="CS114" s="486"/>
      <c r="CT114" s="486"/>
      <c r="CU114" s="486"/>
      <c r="CV114" s="486"/>
      <c r="CW114" s="486"/>
      <c r="CX114" s="486"/>
      <c r="CY114" s="486"/>
      <c r="CZ114" s="486"/>
      <c r="DA114" s="486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</row>
    <row r="115" spans="1:105" ht="25.5" customHeight="1">
      <c r="A115" s="416">
        <v>24</v>
      </c>
      <c r="B115" s="416"/>
      <c r="C115" s="416"/>
      <c r="D115" s="416"/>
      <c r="E115" s="416"/>
      <c r="F115" s="416"/>
      <c r="G115" s="416"/>
      <c r="H115" s="487" t="s">
        <v>403</v>
      </c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488"/>
      <c r="AL115" s="488"/>
      <c r="AM115" s="488"/>
      <c r="AN115" s="488"/>
      <c r="AO115" s="488"/>
      <c r="AP115" s="488"/>
      <c r="AQ115" s="488"/>
      <c r="AR115" s="488"/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9"/>
      <c r="BD115" s="483"/>
      <c r="BE115" s="484"/>
      <c r="BF115" s="484"/>
      <c r="BG115" s="484"/>
      <c r="BH115" s="484"/>
      <c r="BI115" s="484"/>
      <c r="BJ115" s="484"/>
      <c r="BK115" s="484"/>
      <c r="BL115" s="484"/>
      <c r="BM115" s="484"/>
      <c r="BN115" s="484"/>
      <c r="BO115" s="484"/>
      <c r="BP115" s="484"/>
      <c r="BQ115" s="484"/>
      <c r="BR115" s="484"/>
      <c r="BS115" s="485"/>
      <c r="BT115" s="416">
        <v>2</v>
      </c>
      <c r="BU115" s="416"/>
      <c r="BV115" s="416"/>
      <c r="BW115" s="416"/>
      <c r="BX115" s="416"/>
      <c r="BY115" s="416"/>
      <c r="BZ115" s="416"/>
      <c r="CA115" s="416"/>
      <c r="CB115" s="416"/>
      <c r="CC115" s="416"/>
      <c r="CD115" s="416"/>
      <c r="CE115" s="416"/>
      <c r="CF115" s="416"/>
      <c r="CG115" s="416"/>
      <c r="CH115" s="416"/>
      <c r="CI115" s="416"/>
      <c r="CJ115" s="486">
        <v>250000</v>
      </c>
      <c r="CK115" s="486"/>
      <c r="CL115" s="486"/>
      <c r="CM115" s="486"/>
      <c r="CN115" s="486"/>
      <c r="CO115" s="486"/>
      <c r="CP115" s="486"/>
      <c r="CQ115" s="486"/>
      <c r="CR115" s="486"/>
      <c r="CS115" s="486"/>
      <c r="CT115" s="486"/>
      <c r="CU115" s="486"/>
      <c r="CV115" s="486"/>
      <c r="CW115" s="486"/>
      <c r="CX115" s="486"/>
      <c r="CY115" s="486"/>
      <c r="CZ115" s="486"/>
      <c r="DA115" s="486"/>
    </row>
    <row r="116" spans="1:162" s="82" customFormat="1" ht="30" customHeight="1">
      <c r="A116" s="416">
        <v>25</v>
      </c>
      <c r="B116" s="416"/>
      <c r="C116" s="416"/>
      <c r="D116" s="416"/>
      <c r="E116" s="416"/>
      <c r="F116" s="416"/>
      <c r="G116" s="416"/>
      <c r="H116" s="487" t="s">
        <v>404</v>
      </c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488"/>
      <c r="AL116" s="488"/>
      <c r="AM116" s="488"/>
      <c r="AN116" s="488"/>
      <c r="AO116" s="488"/>
      <c r="AP116" s="488"/>
      <c r="AQ116" s="488"/>
      <c r="AR116" s="488"/>
      <c r="AS116" s="488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9"/>
      <c r="BD116" s="483"/>
      <c r="BE116" s="484"/>
      <c r="BF116" s="484"/>
      <c r="BG116" s="484"/>
      <c r="BH116" s="484"/>
      <c r="BI116" s="484"/>
      <c r="BJ116" s="484"/>
      <c r="BK116" s="484"/>
      <c r="BL116" s="484"/>
      <c r="BM116" s="484"/>
      <c r="BN116" s="484"/>
      <c r="BO116" s="484"/>
      <c r="BP116" s="484"/>
      <c r="BQ116" s="484"/>
      <c r="BR116" s="484"/>
      <c r="BS116" s="485"/>
      <c r="BT116" s="416">
        <v>1</v>
      </c>
      <c r="BU116" s="416"/>
      <c r="BV116" s="416"/>
      <c r="BW116" s="416"/>
      <c r="BX116" s="416"/>
      <c r="BY116" s="416"/>
      <c r="BZ116" s="416"/>
      <c r="CA116" s="416"/>
      <c r="CB116" s="416"/>
      <c r="CC116" s="416"/>
      <c r="CD116" s="416"/>
      <c r="CE116" s="416"/>
      <c r="CF116" s="416"/>
      <c r="CG116" s="416"/>
      <c r="CH116" s="416"/>
      <c r="CI116" s="416"/>
      <c r="CJ116" s="486">
        <v>200000</v>
      </c>
      <c r="CK116" s="486"/>
      <c r="CL116" s="486"/>
      <c r="CM116" s="486"/>
      <c r="CN116" s="486"/>
      <c r="CO116" s="486"/>
      <c r="CP116" s="486"/>
      <c r="CQ116" s="486"/>
      <c r="CR116" s="486"/>
      <c r="CS116" s="486"/>
      <c r="CT116" s="486"/>
      <c r="CU116" s="486"/>
      <c r="CV116" s="486"/>
      <c r="CW116" s="486"/>
      <c r="CX116" s="486"/>
      <c r="CY116" s="486"/>
      <c r="CZ116" s="486"/>
      <c r="DA116" s="486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</row>
    <row r="117" spans="1:162" s="83" customFormat="1" ht="15">
      <c r="A117" s="416">
        <v>26</v>
      </c>
      <c r="B117" s="416"/>
      <c r="C117" s="416"/>
      <c r="D117" s="416"/>
      <c r="E117" s="416"/>
      <c r="F117" s="416"/>
      <c r="G117" s="416"/>
      <c r="H117" s="487" t="s">
        <v>405</v>
      </c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488"/>
      <c r="AL117" s="488"/>
      <c r="AM117" s="488"/>
      <c r="AN117" s="488"/>
      <c r="AO117" s="488"/>
      <c r="AP117" s="488"/>
      <c r="AQ117" s="488"/>
      <c r="AR117" s="488"/>
      <c r="AS117" s="488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9"/>
      <c r="BD117" s="483"/>
      <c r="BE117" s="484"/>
      <c r="BF117" s="484"/>
      <c r="BG117" s="484"/>
      <c r="BH117" s="484"/>
      <c r="BI117" s="484"/>
      <c r="BJ117" s="484"/>
      <c r="BK117" s="484"/>
      <c r="BL117" s="484"/>
      <c r="BM117" s="484"/>
      <c r="BN117" s="484"/>
      <c r="BO117" s="484"/>
      <c r="BP117" s="484"/>
      <c r="BQ117" s="484"/>
      <c r="BR117" s="484"/>
      <c r="BS117" s="485"/>
      <c r="BT117" s="416">
        <v>2</v>
      </c>
      <c r="BU117" s="416"/>
      <c r="BV117" s="416"/>
      <c r="BW117" s="416"/>
      <c r="BX117" s="416"/>
      <c r="BY117" s="416"/>
      <c r="BZ117" s="416"/>
      <c r="CA117" s="416"/>
      <c r="CB117" s="416"/>
      <c r="CC117" s="416"/>
      <c r="CD117" s="416"/>
      <c r="CE117" s="416"/>
      <c r="CF117" s="416"/>
      <c r="CG117" s="416"/>
      <c r="CH117" s="416"/>
      <c r="CI117" s="416"/>
      <c r="CJ117" s="486">
        <v>100000</v>
      </c>
      <c r="CK117" s="486"/>
      <c r="CL117" s="486"/>
      <c r="CM117" s="486"/>
      <c r="CN117" s="486"/>
      <c r="CO117" s="486"/>
      <c r="CP117" s="486"/>
      <c r="CQ117" s="486"/>
      <c r="CR117" s="486"/>
      <c r="CS117" s="486"/>
      <c r="CT117" s="486"/>
      <c r="CU117" s="486"/>
      <c r="CV117" s="486"/>
      <c r="CW117" s="486"/>
      <c r="CX117" s="486"/>
      <c r="CY117" s="486"/>
      <c r="CZ117" s="486"/>
      <c r="DA117" s="486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</row>
    <row r="118" spans="1:162" s="84" customFormat="1" ht="15" customHeight="1">
      <c r="A118" s="416">
        <v>27</v>
      </c>
      <c r="B118" s="416"/>
      <c r="C118" s="416"/>
      <c r="D118" s="416"/>
      <c r="E118" s="416"/>
      <c r="F118" s="416"/>
      <c r="G118" s="416"/>
      <c r="H118" s="487" t="s">
        <v>406</v>
      </c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488"/>
      <c r="AL118" s="488"/>
      <c r="AM118" s="488"/>
      <c r="AN118" s="488"/>
      <c r="AO118" s="488"/>
      <c r="AP118" s="488"/>
      <c r="AQ118" s="488"/>
      <c r="AR118" s="488"/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9"/>
      <c r="BD118" s="483"/>
      <c r="BE118" s="484"/>
      <c r="BF118" s="484"/>
      <c r="BG118" s="484"/>
      <c r="BH118" s="484"/>
      <c r="BI118" s="484"/>
      <c r="BJ118" s="484"/>
      <c r="BK118" s="484"/>
      <c r="BL118" s="484"/>
      <c r="BM118" s="484"/>
      <c r="BN118" s="484"/>
      <c r="BO118" s="484"/>
      <c r="BP118" s="484"/>
      <c r="BQ118" s="484"/>
      <c r="BR118" s="484"/>
      <c r="BS118" s="485"/>
      <c r="BT118" s="416">
        <v>2</v>
      </c>
      <c r="BU118" s="416"/>
      <c r="BV118" s="416"/>
      <c r="BW118" s="416"/>
      <c r="BX118" s="416"/>
      <c r="BY118" s="416"/>
      <c r="BZ118" s="416"/>
      <c r="CA118" s="416"/>
      <c r="CB118" s="416"/>
      <c r="CC118" s="416"/>
      <c r="CD118" s="416"/>
      <c r="CE118" s="416"/>
      <c r="CF118" s="416"/>
      <c r="CG118" s="416"/>
      <c r="CH118" s="416"/>
      <c r="CI118" s="416"/>
      <c r="CJ118" s="486">
        <v>200000</v>
      </c>
      <c r="CK118" s="486"/>
      <c r="CL118" s="486"/>
      <c r="CM118" s="486"/>
      <c r="CN118" s="486"/>
      <c r="CO118" s="486"/>
      <c r="CP118" s="486"/>
      <c r="CQ118" s="486"/>
      <c r="CR118" s="486"/>
      <c r="CS118" s="486"/>
      <c r="CT118" s="486"/>
      <c r="CU118" s="486"/>
      <c r="CV118" s="486"/>
      <c r="CW118" s="486"/>
      <c r="CX118" s="486"/>
      <c r="CY118" s="486"/>
      <c r="CZ118" s="486"/>
      <c r="DA118" s="486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</row>
    <row r="119" spans="1:162" s="84" customFormat="1" ht="15" customHeight="1">
      <c r="A119" s="416">
        <v>28</v>
      </c>
      <c r="B119" s="416"/>
      <c r="C119" s="416"/>
      <c r="D119" s="416"/>
      <c r="E119" s="416"/>
      <c r="F119" s="416"/>
      <c r="G119" s="416"/>
      <c r="H119" s="487" t="s">
        <v>407</v>
      </c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88"/>
      <c r="AK119" s="488"/>
      <c r="AL119" s="488"/>
      <c r="AM119" s="488"/>
      <c r="AN119" s="488"/>
      <c r="AO119" s="488"/>
      <c r="AP119" s="488"/>
      <c r="AQ119" s="488"/>
      <c r="AR119" s="488"/>
      <c r="AS119" s="488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9"/>
      <c r="BD119" s="483"/>
      <c r="BE119" s="484"/>
      <c r="BF119" s="484"/>
      <c r="BG119" s="484"/>
      <c r="BH119" s="484"/>
      <c r="BI119" s="484"/>
      <c r="BJ119" s="484"/>
      <c r="BK119" s="484"/>
      <c r="BL119" s="484"/>
      <c r="BM119" s="484"/>
      <c r="BN119" s="484"/>
      <c r="BO119" s="484"/>
      <c r="BP119" s="484"/>
      <c r="BQ119" s="484"/>
      <c r="BR119" s="484"/>
      <c r="BS119" s="485"/>
      <c r="BT119" s="416">
        <v>12</v>
      </c>
      <c r="BU119" s="416"/>
      <c r="BV119" s="416"/>
      <c r="BW119" s="416"/>
      <c r="BX119" s="416"/>
      <c r="BY119" s="416"/>
      <c r="BZ119" s="416"/>
      <c r="CA119" s="416"/>
      <c r="CB119" s="416"/>
      <c r="CC119" s="416"/>
      <c r="CD119" s="416"/>
      <c r="CE119" s="416"/>
      <c r="CF119" s="416"/>
      <c r="CG119" s="416"/>
      <c r="CH119" s="416"/>
      <c r="CI119" s="416"/>
      <c r="CJ119" s="486">
        <v>20000</v>
      </c>
      <c r="CK119" s="486"/>
      <c r="CL119" s="486"/>
      <c r="CM119" s="486"/>
      <c r="CN119" s="486"/>
      <c r="CO119" s="486"/>
      <c r="CP119" s="486"/>
      <c r="CQ119" s="486"/>
      <c r="CR119" s="486"/>
      <c r="CS119" s="486"/>
      <c r="CT119" s="486"/>
      <c r="CU119" s="486"/>
      <c r="CV119" s="486"/>
      <c r="CW119" s="486"/>
      <c r="CX119" s="486"/>
      <c r="CY119" s="486"/>
      <c r="CZ119" s="486"/>
      <c r="DA119" s="486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</row>
    <row r="120" spans="1:162" s="84" customFormat="1" ht="15" customHeight="1">
      <c r="A120" s="416">
        <v>29</v>
      </c>
      <c r="B120" s="416"/>
      <c r="C120" s="416"/>
      <c r="D120" s="416"/>
      <c r="E120" s="416"/>
      <c r="F120" s="416"/>
      <c r="G120" s="416"/>
      <c r="H120" s="487" t="s">
        <v>408</v>
      </c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  <c r="Z120" s="488"/>
      <c r="AA120" s="488"/>
      <c r="AB120" s="488"/>
      <c r="AC120" s="488"/>
      <c r="AD120" s="488"/>
      <c r="AE120" s="488"/>
      <c r="AF120" s="488"/>
      <c r="AG120" s="488"/>
      <c r="AH120" s="488"/>
      <c r="AI120" s="488"/>
      <c r="AJ120" s="488"/>
      <c r="AK120" s="488"/>
      <c r="AL120" s="488"/>
      <c r="AM120" s="488"/>
      <c r="AN120" s="488"/>
      <c r="AO120" s="488"/>
      <c r="AP120" s="488"/>
      <c r="AQ120" s="488"/>
      <c r="AR120" s="488"/>
      <c r="AS120" s="488"/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9"/>
      <c r="BD120" s="483"/>
      <c r="BE120" s="484"/>
      <c r="BF120" s="484"/>
      <c r="BG120" s="484"/>
      <c r="BH120" s="484"/>
      <c r="BI120" s="484"/>
      <c r="BJ120" s="484"/>
      <c r="BK120" s="484"/>
      <c r="BL120" s="484"/>
      <c r="BM120" s="484"/>
      <c r="BN120" s="484"/>
      <c r="BO120" s="484"/>
      <c r="BP120" s="484"/>
      <c r="BQ120" s="484"/>
      <c r="BR120" s="484"/>
      <c r="BS120" s="485"/>
      <c r="BT120" s="416">
        <v>2</v>
      </c>
      <c r="BU120" s="416"/>
      <c r="BV120" s="416"/>
      <c r="BW120" s="416"/>
      <c r="BX120" s="416"/>
      <c r="BY120" s="416"/>
      <c r="BZ120" s="416"/>
      <c r="CA120" s="416"/>
      <c r="CB120" s="416"/>
      <c r="CC120" s="416"/>
      <c r="CD120" s="416"/>
      <c r="CE120" s="416"/>
      <c r="CF120" s="416"/>
      <c r="CG120" s="416"/>
      <c r="CH120" s="416"/>
      <c r="CI120" s="416"/>
      <c r="CJ120" s="486">
        <v>700000</v>
      </c>
      <c r="CK120" s="486"/>
      <c r="CL120" s="486"/>
      <c r="CM120" s="486"/>
      <c r="CN120" s="486"/>
      <c r="CO120" s="486"/>
      <c r="CP120" s="486"/>
      <c r="CQ120" s="486"/>
      <c r="CR120" s="486"/>
      <c r="CS120" s="486"/>
      <c r="CT120" s="486"/>
      <c r="CU120" s="486"/>
      <c r="CV120" s="486"/>
      <c r="CW120" s="486"/>
      <c r="CX120" s="486"/>
      <c r="CY120" s="486"/>
      <c r="CZ120" s="486"/>
      <c r="DA120" s="486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</row>
    <row r="121" spans="1:105" ht="12" customHeight="1">
      <c r="A121" s="416">
        <v>30</v>
      </c>
      <c r="B121" s="416"/>
      <c r="C121" s="416"/>
      <c r="D121" s="416"/>
      <c r="E121" s="416"/>
      <c r="F121" s="416"/>
      <c r="G121" s="416"/>
      <c r="H121" s="487" t="s">
        <v>409</v>
      </c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488"/>
      <c r="AH121" s="488"/>
      <c r="AI121" s="488"/>
      <c r="AJ121" s="488"/>
      <c r="AK121" s="488"/>
      <c r="AL121" s="488"/>
      <c r="AM121" s="488"/>
      <c r="AN121" s="488"/>
      <c r="AO121" s="488"/>
      <c r="AP121" s="488"/>
      <c r="AQ121" s="488"/>
      <c r="AR121" s="488"/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9"/>
      <c r="BD121" s="483"/>
      <c r="BE121" s="484"/>
      <c r="BF121" s="484"/>
      <c r="BG121" s="484"/>
      <c r="BH121" s="484"/>
      <c r="BI121" s="484"/>
      <c r="BJ121" s="484"/>
      <c r="BK121" s="484"/>
      <c r="BL121" s="484"/>
      <c r="BM121" s="484"/>
      <c r="BN121" s="484"/>
      <c r="BO121" s="484"/>
      <c r="BP121" s="484"/>
      <c r="BQ121" s="484"/>
      <c r="BR121" s="484"/>
      <c r="BS121" s="485"/>
      <c r="BT121" s="416">
        <v>4</v>
      </c>
      <c r="BU121" s="416"/>
      <c r="BV121" s="416"/>
      <c r="BW121" s="416"/>
      <c r="BX121" s="416"/>
      <c r="BY121" s="416"/>
      <c r="BZ121" s="416"/>
      <c r="CA121" s="416"/>
      <c r="CB121" s="416"/>
      <c r="CC121" s="416"/>
      <c r="CD121" s="416"/>
      <c r="CE121" s="416"/>
      <c r="CF121" s="416"/>
      <c r="CG121" s="416"/>
      <c r="CH121" s="416"/>
      <c r="CI121" s="416"/>
      <c r="CJ121" s="486">
        <v>300000</v>
      </c>
      <c r="CK121" s="486"/>
      <c r="CL121" s="486"/>
      <c r="CM121" s="486"/>
      <c r="CN121" s="486"/>
      <c r="CO121" s="486"/>
      <c r="CP121" s="486"/>
      <c r="CQ121" s="486"/>
      <c r="CR121" s="486"/>
      <c r="CS121" s="486"/>
      <c r="CT121" s="486"/>
      <c r="CU121" s="486"/>
      <c r="CV121" s="486"/>
      <c r="CW121" s="486"/>
      <c r="CX121" s="486"/>
      <c r="CY121" s="486"/>
      <c r="CZ121" s="486"/>
      <c r="DA121" s="486"/>
    </row>
    <row r="122" spans="1:105" ht="12" customHeight="1">
      <c r="A122" s="416">
        <v>31</v>
      </c>
      <c r="B122" s="416"/>
      <c r="C122" s="416"/>
      <c r="D122" s="416"/>
      <c r="E122" s="416"/>
      <c r="F122" s="416"/>
      <c r="G122" s="416"/>
      <c r="H122" s="487" t="s">
        <v>410</v>
      </c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88"/>
      <c r="AK122" s="488"/>
      <c r="AL122" s="488"/>
      <c r="AM122" s="488"/>
      <c r="AN122" s="488"/>
      <c r="AO122" s="488"/>
      <c r="AP122" s="488"/>
      <c r="AQ122" s="488"/>
      <c r="AR122" s="488"/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9"/>
      <c r="BD122" s="483"/>
      <c r="BE122" s="484"/>
      <c r="BF122" s="484"/>
      <c r="BG122" s="484"/>
      <c r="BH122" s="484"/>
      <c r="BI122" s="484"/>
      <c r="BJ122" s="484"/>
      <c r="BK122" s="484"/>
      <c r="BL122" s="484"/>
      <c r="BM122" s="484"/>
      <c r="BN122" s="484"/>
      <c r="BO122" s="484"/>
      <c r="BP122" s="484"/>
      <c r="BQ122" s="484"/>
      <c r="BR122" s="484"/>
      <c r="BS122" s="485"/>
      <c r="BT122" s="416">
        <v>2</v>
      </c>
      <c r="BU122" s="416"/>
      <c r="BV122" s="416"/>
      <c r="BW122" s="416"/>
      <c r="BX122" s="416"/>
      <c r="BY122" s="416"/>
      <c r="BZ122" s="416"/>
      <c r="CA122" s="416"/>
      <c r="CB122" s="416"/>
      <c r="CC122" s="416"/>
      <c r="CD122" s="416"/>
      <c r="CE122" s="416"/>
      <c r="CF122" s="416"/>
      <c r="CG122" s="416"/>
      <c r="CH122" s="416"/>
      <c r="CI122" s="416"/>
      <c r="CJ122" s="486">
        <v>100000</v>
      </c>
      <c r="CK122" s="486"/>
      <c r="CL122" s="486"/>
      <c r="CM122" s="486"/>
      <c r="CN122" s="486"/>
      <c r="CO122" s="486"/>
      <c r="CP122" s="486"/>
      <c r="CQ122" s="486"/>
      <c r="CR122" s="486"/>
      <c r="CS122" s="486"/>
      <c r="CT122" s="486"/>
      <c r="CU122" s="486"/>
      <c r="CV122" s="486"/>
      <c r="CW122" s="486"/>
      <c r="CX122" s="486"/>
      <c r="CY122" s="486"/>
      <c r="CZ122" s="486"/>
      <c r="DA122" s="486"/>
    </row>
    <row r="123" spans="1:105" ht="12" customHeight="1">
      <c r="A123" s="416">
        <v>32</v>
      </c>
      <c r="B123" s="416"/>
      <c r="C123" s="416"/>
      <c r="D123" s="416"/>
      <c r="E123" s="416"/>
      <c r="F123" s="416"/>
      <c r="G123" s="416"/>
      <c r="H123" s="487" t="s">
        <v>411</v>
      </c>
      <c r="I123" s="488"/>
      <c r="J123" s="488"/>
      <c r="K123" s="488"/>
      <c r="L123" s="488"/>
      <c r="M123" s="488"/>
      <c r="N123" s="488"/>
      <c r="O123" s="488"/>
      <c r="P123" s="488"/>
      <c r="Q123" s="488"/>
      <c r="R123" s="488"/>
      <c r="S123" s="488"/>
      <c r="T123" s="488"/>
      <c r="U123" s="488"/>
      <c r="V123" s="488"/>
      <c r="W123" s="488"/>
      <c r="X123" s="488"/>
      <c r="Y123" s="488"/>
      <c r="Z123" s="488"/>
      <c r="AA123" s="488"/>
      <c r="AB123" s="488"/>
      <c r="AC123" s="488"/>
      <c r="AD123" s="488"/>
      <c r="AE123" s="488"/>
      <c r="AF123" s="488"/>
      <c r="AG123" s="488"/>
      <c r="AH123" s="488"/>
      <c r="AI123" s="488"/>
      <c r="AJ123" s="488"/>
      <c r="AK123" s="488"/>
      <c r="AL123" s="488"/>
      <c r="AM123" s="488"/>
      <c r="AN123" s="488"/>
      <c r="AO123" s="488"/>
      <c r="AP123" s="488"/>
      <c r="AQ123" s="488"/>
      <c r="AR123" s="488"/>
      <c r="AS123" s="488"/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9"/>
      <c r="BD123" s="483"/>
      <c r="BE123" s="484"/>
      <c r="BF123" s="484"/>
      <c r="BG123" s="484"/>
      <c r="BH123" s="484"/>
      <c r="BI123" s="484"/>
      <c r="BJ123" s="484"/>
      <c r="BK123" s="484"/>
      <c r="BL123" s="484"/>
      <c r="BM123" s="484"/>
      <c r="BN123" s="484"/>
      <c r="BO123" s="484"/>
      <c r="BP123" s="484"/>
      <c r="BQ123" s="484"/>
      <c r="BR123" s="484"/>
      <c r="BS123" s="485"/>
      <c r="BT123" s="416">
        <v>12</v>
      </c>
      <c r="BU123" s="416"/>
      <c r="BV123" s="416"/>
      <c r="BW123" s="416"/>
      <c r="BX123" s="416"/>
      <c r="BY123" s="416"/>
      <c r="BZ123" s="416"/>
      <c r="CA123" s="416"/>
      <c r="CB123" s="416"/>
      <c r="CC123" s="416"/>
      <c r="CD123" s="416"/>
      <c r="CE123" s="416"/>
      <c r="CF123" s="416"/>
      <c r="CG123" s="416"/>
      <c r="CH123" s="416"/>
      <c r="CI123" s="416"/>
      <c r="CJ123" s="486">
        <v>400000</v>
      </c>
      <c r="CK123" s="486"/>
      <c r="CL123" s="486"/>
      <c r="CM123" s="486"/>
      <c r="CN123" s="486"/>
      <c r="CO123" s="486"/>
      <c r="CP123" s="486"/>
      <c r="CQ123" s="486"/>
      <c r="CR123" s="486"/>
      <c r="CS123" s="486"/>
      <c r="CT123" s="486"/>
      <c r="CU123" s="486"/>
      <c r="CV123" s="486"/>
      <c r="CW123" s="486"/>
      <c r="CX123" s="486"/>
      <c r="CY123" s="486"/>
      <c r="CZ123" s="486"/>
      <c r="DA123" s="486"/>
    </row>
    <row r="124" spans="1:105" ht="12" customHeight="1">
      <c r="A124" s="416">
        <v>33</v>
      </c>
      <c r="B124" s="416"/>
      <c r="C124" s="416"/>
      <c r="D124" s="416"/>
      <c r="E124" s="416"/>
      <c r="F124" s="416"/>
      <c r="G124" s="416"/>
      <c r="H124" s="487" t="s">
        <v>412</v>
      </c>
      <c r="I124" s="488"/>
      <c r="J124" s="488"/>
      <c r="K124" s="488"/>
      <c r="L124" s="488"/>
      <c r="M124" s="488"/>
      <c r="N124" s="488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88"/>
      <c r="AA124" s="488"/>
      <c r="AB124" s="488"/>
      <c r="AC124" s="488"/>
      <c r="AD124" s="488"/>
      <c r="AE124" s="488"/>
      <c r="AF124" s="488"/>
      <c r="AG124" s="488"/>
      <c r="AH124" s="488"/>
      <c r="AI124" s="488"/>
      <c r="AJ124" s="488"/>
      <c r="AK124" s="488"/>
      <c r="AL124" s="488"/>
      <c r="AM124" s="488"/>
      <c r="AN124" s="488"/>
      <c r="AO124" s="488"/>
      <c r="AP124" s="488"/>
      <c r="AQ124" s="488"/>
      <c r="AR124" s="488"/>
      <c r="AS124" s="488"/>
      <c r="AT124" s="488"/>
      <c r="AU124" s="488"/>
      <c r="AV124" s="488"/>
      <c r="AW124" s="488"/>
      <c r="AX124" s="488"/>
      <c r="AY124" s="488"/>
      <c r="AZ124" s="488"/>
      <c r="BA124" s="488"/>
      <c r="BB124" s="488"/>
      <c r="BC124" s="489"/>
      <c r="BD124" s="483"/>
      <c r="BE124" s="484"/>
      <c r="BF124" s="484"/>
      <c r="BG124" s="484"/>
      <c r="BH124" s="484"/>
      <c r="BI124" s="484"/>
      <c r="BJ124" s="484"/>
      <c r="BK124" s="484"/>
      <c r="BL124" s="484"/>
      <c r="BM124" s="484"/>
      <c r="BN124" s="484"/>
      <c r="BO124" s="484"/>
      <c r="BP124" s="484"/>
      <c r="BQ124" s="484"/>
      <c r="BR124" s="484"/>
      <c r="BS124" s="485"/>
      <c r="BT124" s="416">
        <v>12</v>
      </c>
      <c r="BU124" s="416"/>
      <c r="BV124" s="416"/>
      <c r="BW124" s="416"/>
      <c r="BX124" s="416"/>
      <c r="BY124" s="416"/>
      <c r="BZ124" s="416"/>
      <c r="CA124" s="416"/>
      <c r="CB124" s="416"/>
      <c r="CC124" s="416"/>
      <c r="CD124" s="416"/>
      <c r="CE124" s="416"/>
      <c r="CF124" s="416"/>
      <c r="CG124" s="416"/>
      <c r="CH124" s="416"/>
      <c r="CI124" s="416"/>
      <c r="CJ124" s="486">
        <v>100000</v>
      </c>
      <c r="CK124" s="486"/>
      <c r="CL124" s="486"/>
      <c r="CM124" s="486"/>
      <c r="CN124" s="486"/>
      <c r="CO124" s="486"/>
      <c r="CP124" s="486"/>
      <c r="CQ124" s="486"/>
      <c r="CR124" s="486"/>
      <c r="CS124" s="486"/>
      <c r="CT124" s="486"/>
      <c r="CU124" s="486"/>
      <c r="CV124" s="486"/>
      <c r="CW124" s="486"/>
      <c r="CX124" s="486"/>
      <c r="CY124" s="486"/>
      <c r="CZ124" s="486"/>
      <c r="DA124" s="486"/>
    </row>
    <row r="125" spans="1:105" ht="12" customHeight="1">
      <c r="A125" s="416">
        <v>34</v>
      </c>
      <c r="B125" s="416"/>
      <c r="C125" s="416"/>
      <c r="D125" s="416"/>
      <c r="E125" s="416"/>
      <c r="F125" s="416"/>
      <c r="G125" s="416"/>
      <c r="H125" s="487" t="s">
        <v>413</v>
      </c>
      <c r="I125" s="488"/>
      <c r="J125" s="488"/>
      <c r="K125" s="488"/>
      <c r="L125" s="488"/>
      <c r="M125" s="488"/>
      <c r="N125" s="488"/>
      <c r="O125" s="488"/>
      <c r="P125" s="488"/>
      <c r="Q125" s="488"/>
      <c r="R125" s="488"/>
      <c r="S125" s="488"/>
      <c r="T125" s="488"/>
      <c r="U125" s="488"/>
      <c r="V125" s="488"/>
      <c r="W125" s="488"/>
      <c r="X125" s="488"/>
      <c r="Y125" s="488"/>
      <c r="Z125" s="488"/>
      <c r="AA125" s="488"/>
      <c r="AB125" s="488"/>
      <c r="AC125" s="488"/>
      <c r="AD125" s="488"/>
      <c r="AE125" s="488"/>
      <c r="AF125" s="488"/>
      <c r="AG125" s="488"/>
      <c r="AH125" s="488"/>
      <c r="AI125" s="488"/>
      <c r="AJ125" s="488"/>
      <c r="AK125" s="488"/>
      <c r="AL125" s="488"/>
      <c r="AM125" s="488"/>
      <c r="AN125" s="488"/>
      <c r="AO125" s="488"/>
      <c r="AP125" s="488"/>
      <c r="AQ125" s="488"/>
      <c r="AR125" s="488"/>
      <c r="AS125" s="488"/>
      <c r="AT125" s="488"/>
      <c r="AU125" s="488"/>
      <c r="AV125" s="488"/>
      <c r="AW125" s="488"/>
      <c r="AX125" s="488"/>
      <c r="AY125" s="488"/>
      <c r="AZ125" s="488"/>
      <c r="BA125" s="488"/>
      <c r="BB125" s="488"/>
      <c r="BC125" s="489"/>
      <c r="BD125" s="483"/>
      <c r="BE125" s="484"/>
      <c r="BF125" s="484"/>
      <c r="BG125" s="484"/>
      <c r="BH125" s="484"/>
      <c r="BI125" s="484"/>
      <c r="BJ125" s="484"/>
      <c r="BK125" s="484"/>
      <c r="BL125" s="484"/>
      <c r="BM125" s="484"/>
      <c r="BN125" s="484"/>
      <c r="BO125" s="484"/>
      <c r="BP125" s="484"/>
      <c r="BQ125" s="484"/>
      <c r="BR125" s="484"/>
      <c r="BS125" s="485"/>
      <c r="BT125" s="416">
        <v>1</v>
      </c>
      <c r="BU125" s="416"/>
      <c r="BV125" s="416"/>
      <c r="BW125" s="416"/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  <c r="CI125" s="416"/>
      <c r="CJ125" s="486">
        <v>50000</v>
      </c>
      <c r="CK125" s="486"/>
      <c r="CL125" s="486"/>
      <c r="CM125" s="486"/>
      <c r="CN125" s="486"/>
      <c r="CO125" s="486"/>
      <c r="CP125" s="486"/>
      <c r="CQ125" s="486"/>
      <c r="CR125" s="486"/>
      <c r="CS125" s="486"/>
      <c r="CT125" s="486"/>
      <c r="CU125" s="486"/>
      <c r="CV125" s="486"/>
      <c r="CW125" s="486"/>
      <c r="CX125" s="486"/>
      <c r="CY125" s="486"/>
      <c r="CZ125" s="486"/>
      <c r="DA125" s="486"/>
    </row>
    <row r="126" spans="1:105" ht="12" customHeight="1">
      <c r="A126" s="416">
        <v>35</v>
      </c>
      <c r="B126" s="416"/>
      <c r="C126" s="416"/>
      <c r="D126" s="416"/>
      <c r="E126" s="416"/>
      <c r="F126" s="416"/>
      <c r="G126" s="416"/>
      <c r="H126" s="487" t="s">
        <v>414</v>
      </c>
      <c r="I126" s="488"/>
      <c r="J126" s="488"/>
      <c r="K126" s="488"/>
      <c r="L126" s="488"/>
      <c r="M126" s="488"/>
      <c r="N126" s="488"/>
      <c r="O126" s="488"/>
      <c r="P126" s="488"/>
      <c r="Q126" s="488"/>
      <c r="R126" s="488"/>
      <c r="S126" s="488"/>
      <c r="T126" s="488"/>
      <c r="U126" s="488"/>
      <c r="V126" s="488"/>
      <c r="W126" s="488"/>
      <c r="X126" s="488"/>
      <c r="Y126" s="488"/>
      <c r="Z126" s="488"/>
      <c r="AA126" s="488"/>
      <c r="AB126" s="488"/>
      <c r="AC126" s="488"/>
      <c r="AD126" s="488"/>
      <c r="AE126" s="488"/>
      <c r="AF126" s="488"/>
      <c r="AG126" s="488"/>
      <c r="AH126" s="488"/>
      <c r="AI126" s="488"/>
      <c r="AJ126" s="488"/>
      <c r="AK126" s="488"/>
      <c r="AL126" s="488"/>
      <c r="AM126" s="488"/>
      <c r="AN126" s="488"/>
      <c r="AO126" s="488"/>
      <c r="AP126" s="488"/>
      <c r="AQ126" s="488"/>
      <c r="AR126" s="488"/>
      <c r="AS126" s="488"/>
      <c r="AT126" s="488"/>
      <c r="AU126" s="488"/>
      <c r="AV126" s="488"/>
      <c r="AW126" s="488"/>
      <c r="AX126" s="488"/>
      <c r="AY126" s="488"/>
      <c r="AZ126" s="488"/>
      <c r="BA126" s="488"/>
      <c r="BB126" s="488"/>
      <c r="BC126" s="489"/>
      <c r="BD126" s="483"/>
      <c r="BE126" s="484"/>
      <c r="BF126" s="484"/>
      <c r="BG126" s="484"/>
      <c r="BH126" s="484"/>
      <c r="BI126" s="484"/>
      <c r="BJ126" s="484"/>
      <c r="BK126" s="484"/>
      <c r="BL126" s="484"/>
      <c r="BM126" s="484"/>
      <c r="BN126" s="484"/>
      <c r="BO126" s="484"/>
      <c r="BP126" s="484"/>
      <c r="BQ126" s="484"/>
      <c r="BR126" s="484"/>
      <c r="BS126" s="485"/>
      <c r="BT126" s="416">
        <v>1</v>
      </c>
      <c r="BU126" s="416"/>
      <c r="BV126" s="416"/>
      <c r="BW126" s="416"/>
      <c r="BX126" s="416"/>
      <c r="BY126" s="416"/>
      <c r="BZ126" s="416"/>
      <c r="CA126" s="416"/>
      <c r="CB126" s="416"/>
      <c r="CC126" s="416"/>
      <c r="CD126" s="416"/>
      <c r="CE126" s="416"/>
      <c r="CF126" s="416"/>
      <c r="CG126" s="416"/>
      <c r="CH126" s="416"/>
      <c r="CI126" s="416"/>
      <c r="CJ126" s="486">
        <v>100000</v>
      </c>
      <c r="CK126" s="486"/>
      <c r="CL126" s="486"/>
      <c r="CM126" s="486"/>
      <c r="CN126" s="486"/>
      <c r="CO126" s="486"/>
      <c r="CP126" s="486"/>
      <c r="CQ126" s="486"/>
      <c r="CR126" s="486"/>
      <c r="CS126" s="486"/>
      <c r="CT126" s="486"/>
      <c r="CU126" s="486"/>
      <c r="CV126" s="486"/>
      <c r="CW126" s="486"/>
      <c r="CX126" s="486"/>
      <c r="CY126" s="486"/>
      <c r="CZ126" s="486"/>
      <c r="DA126" s="486"/>
    </row>
    <row r="127" spans="1:105" ht="12" customHeight="1">
      <c r="A127" s="416">
        <v>36</v>
      </c>
      <c r="B127" s="416"/>
      <c r="C127" s="416"/>
      <c r="D127" s="416"/>
      <c r="E127" s="416"/>
      <c r="F127" s="416"/>
      <c r="G127" s="416"/>
      <c r="H127" s="487" t="s">
        <v>415</v>
      </c>
      <c r="I127" s="488"/>
      <c r="J127" s="488"/>
      <c r="K127" s="488"/>
      <c r="L127" s="488"/>
      <c r="M127" s="488"/>
      <c r="N127" s="488"/>
      <c r="O127" s="488"/>
      <c r="P127" s="488"/>
      <c r="Q127" s="488"/>
      <c r="R127" s="488"/>
      <c r="S127" s="488"/>
      <c r="T127" s="488"/>
      <c r="U127" s="488"/>
      <c r="V127" s="488"/>
      <c r="W127" s="488"/>
      <c r="X127" s="488"/>
      <c r="Y127" s="488"/>
      <c r="Z127" s="488"/>
      <c r="AA127" s="488"/>
      <c r="AB127" s="488"/>
      <c r="AC127" s="488"/>
      <c r="AD127" s="488"/>
      <c r="AE127" s="488"/>
      <c r="AF127" s="488"/>
      <c r="AG127" s="488"/>
      <c r="AH127" s="488"/>
      <c r="AI127" s="488"/>
      <c r="AJ127" s="488"/>
      <c r="AK127" s="488"/>
      <c r="AL127" s="488"/>
      <c r="AM127" s="488"/>
      <c r="AN127" s="488"/>
      <c r="AO127" s="488"/>
      <c r="AP127" s="488"/>
      <c r="AQ127" s="488"/>
      <c r="AR127" s="488"/>
      <c r="AS127" s="488"/>
      <c r="AT127" s="488"/>
      <c r="AU127" s="488"/>
      <c r="AV127" s="488"/>
      <c r="AW127" s="488"/>
      <c r="AX127" s="488"/>
      <c r="AY127" s="488"/>
      <c r="AZ127" s="488"/>
      <c r="BA127" s="488"/>
      <c r="BB127" s="488"/>
      <c r="BC127" s="489"/>
      <c r="BD127" s="483"/>
      <c r="BE127" s="484"/>
      <c r="BF127" s="484"/>
      <c r="BG127" s="484"/>
      <c r="BH127" s="484"/>
      <c r="BI127" s="484"/>
      <c r="BJ127" s="484"/>
      <c r="BK127" s="484"/>
      <c r="BL127" s="484"/>
      <c r="BM127" s="484"/>
      <c r="BN127" s="484"/>
      <c r="BO127" s="484"/>
      <c r="BP127" s="484"/>
      <c r="BQ127" s="484"/>
      <c r="BR127" s="484"/>
      <c r="BS127" s="485"/>
      <c r="BT127" s="416">
        <v>12</v>
      </c>
      <c r="BU127" s="416"/>
      <c r="BV127" s="416"/>
      <c r="BW127" s="416"/>
      <c r="BX127" s="416"/>
      <c r="BY127" s="416"/>
      <c r="BZ127" s="416"/>
      <c r="CA127" s="416"/>
      <c r="CB127" s="416"/>
      <c r="CC127" s="416"/>
      <c r="CD127" s="416"/>
      <c r="CE127" s="416"/>
      <c r="CF127" s="416"/>
      <c r="CG127" s="416"/>
      <c r="CH127" s="416"/>
      <c r="CI127" s="416"/>
      <c r="CJ127" s="486">
        <v>100000</v>
      </c>
      <c r="CK127" s="486"/>
      <c r="CL127" s="486"/>
      <c r="CM127" s="486"/>
      <c r="CN127" s="486"/>
      <c r="CO127" s="486"/>
      <c r="CP127" s="486"/>
      <c r="CQ127" s="486"/>
      <c r="CR127" s="486"/>
      <c r="CS127" s="486"/>
      <c r="CT127" s="486"/>
      <c r="CU127" s="486"/>
      <c r="CV127" s="486"/>
      <c r="CW127" s="486"/>
      <c r="CX127" s="486"/>
      <c r="CY127" s="486"/>
      <c r="CZ127" s="486"/>
      <c r="DA127" s="486"/>
    </row>
    <row r="128" spans="1:105" ht="12" customHeight="1">
      <c r="A128" s="416">
        <v>37</v>
      </c>
      <c r="B128" s="416"/>
      <c r="C128" s="416"/>
      <c r="D128" s="416"/>
      <c r="E128" s="416"/>
      <c r="F128" s="416"/>
      <c r="G128" s="416"/>
      <c r="H128" s="487" t="s">
        <v>411</v>
      </c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  <c r="Z128" s="488"/>
      <c r="AA128" s="488"/>
      <c r="AB128" s="488"/>
      <c r="AC128" s="488"/>
      <c r="AD128" s="488"/>
      <c r="AE128" s="488"/>
      <c r="AF128" s="488"/>
      <c r="AG128" s="488"/>
      <c r="AH128" s="488"/>
      <c r="AI128" s="488"/>
      <c r="AJ128" s="488"/>
      <c r="AK128" s="488"/>
      <c r="AL128" s="488"/>
      <c r="AM128" s="488"/>
      <c r="AN128" s="488"/>
      <c r="AO128" s="488"/>
      <c r="AP128" s="488"/>
      <c r="AQ128" s="488"/>
      <c r="AR128" s="488"/>
      <c r="AS128" s="488"/>
      <c r="AT128" s="488"/>
      <c r="AU128" s="488"/>
      <c r="AV128" s="488"/>
      <c r="AW128" s="488"/>
      <c r="AX128" s="488"/>
      <c r="AY128" s="488"/>
      <c r="AZ128" s="488"/>
      <c r="BA128" s="488"/>
      <c r="BB128" s="488"/>
      <c r="BC128" s="489"/>
      <c r="BD128" s="483"/>
      <c r="BE128" s="484"/>
      <c r="BF128" s="484"/>
      <c r="BG128" s="484"/>
      <c r="BH128" s="484"/>
      <c r="BI128" s="484"/>
      <c r="BJ128" s="484"/>
      <c r="BK128" s="484"/>
      <c r="BL128" s="484"/>
      <c r="BM128" s="484"/>
      <c r="BN128" s="484"/>
      <c r="BO128" s="484"/>
      <c r="BP128" s="484"/>
      <c r="BQ128" s="484"/>
      <c r="BR128" s="484"/>
      <c r="BS128" s="485"/>
      <c r="BT128" s="416">
        <v>12</v>
      </c>
      <c r="BU128" s="416"/>
      <c r="BV128" s="416"/>
      <c r="BW128" s="416"/>
      <c r="BX128" s="416"/>
      <c r="BY128" s="416"/>
      <c r="BZ128" s="416"/>
      <c r="CA128" s="416"/>
      <c r="CB128" s="416"/>
      <c r="CC128" s="416"/>
      <c r="CD128" s="416"/>
      <c r="CE128" s="416"/>
      <c r="CF128" s="416"/>
      <c r="CG128" s="416"/>
      <c r="CH128" s="416"/>
      <c r="CI128" s="416"/>
      <c r="CJ128" s="486">
        <v>300000</v>
      </c>
      <c r="CK128" s="486"/>
      <c r="CL128" s="486"/>
      <c r="CM128" s="486"/>
      <c r="CN128" s="486"/>
      <c r="CO128" s="486"/>
      <c r="CP128" s="486"/>
      <c r="CQ128" s="486"/>
      <c r="CR128" s="486"/>
      <c r="CS128" s="486"/>
      <c r="CT128" s="486"/>
      <c r="CU128" s="486"/>
      <c r="CV128" s="486"/>
      <c r="CW128" s="486"/>
      <c r="CX128" s="486"/>
      <c r="CY128" s="486"/>
      <c r="CZ128" s="486"/>
      <c r="DA128" s="486"/>
    </row>
    <row r="129" spans="1:105" ht="12" customHeight="1">
      <c r="A129" s="416">
        <v>38</v>
      </c>
      <c r="B129" s="416"/>
      <c r="C129" s="416"/>
      <c r="D129" s="416"/>
      <c r="E129" s="416"/>
      <c r="F129" s="416"/>
      <c r="G129" s="416"/>
      <c r="H129" s="487" t="s">
        <v>416</v>
      </c>
      <c r="I129" s="488"/>
      <c r="J129" s="488"/>
      <c r="K129" s="488"/>
      <c r="L129" s="488"/>
      <c r="M129" s="488"/>
      <c r="N129" s="488"/>
      <c r="O129" s="488"/>
      <c r="P129" s="488"/>
      <c r="Q129" s="488"/>
      <c r="R129" s="488"/>
      <c r="S129" s="488"/>
      <c r="T129" s="488"/>
      <c r="U129" s="488"/>
      <c r="V129" s="488"/>
      <c r="W129" s="488"/>
      <c r="X129" s="488"/>
      <c r="Y129" s="488"/>
      <c r="Z129" s="488"/>
      <c r="AA129" s="488"/>
      <c r="AB129" s="488"/>
      <c r="AC129" s="488"/>
      <c r="AD129" s="488"/>
      <c r="AE129" s="488"/>
      <c r="AF129" s="488"/>
      <c r="AG129" s="488"/>
      <c r="AH129" s="488"/>
      <c r="AI129" s="488"/>
      <c r="AJ129" s="488"/>
      <c r="AK129" s="488"/>
      <c r="AL129" s="488"/>
      <c r="AM129" s="488"/>
      <c r="AN129" s="488"/>
      <c r="AO129" s="488"/>
      <c r="AP129" s="488"/>
      <c r="AQ129" s="488"/>
      <c r="AR129" s="488"/>
      <c r="AS129" s="488"/>
      <c r="AT129" s="488"/>
      <c r="AU129" s="488"/>
      <c r="AV129" s="488"/>
      <c r="AW129" s="488"/>
      <c r="AX129" s="488"/>
      <c r="AY129" s="488"/>
      <c r="AZ129" s="488"/>
      <c r="BA129" s="488"/>
      <c r="BB129" s="488"/>
      <c r="BC129" s="489"/>
      <c r="BD129" s="483"/>
      <c r="BE129" s="484"/>
      <c r="BF129" s="484"/>
      <c r="BG129" s="484"/>
      <c r="BH129" s="484"/>
      <c r="BI129" s="484"/>
      <c r="BJ129" s="484"/>
      <c r="BK129" s="484"/>
      <c r="BL129" s="484"/>
      <c r="BM129" s="484"/>
      <c r="BN129" s="484"/>
      <c r="BO129" s="484"/>
      <c r="BP129" s="484"/>
      <c r="BQ129" s="484"/>
      <c r="BR129" s="484"/>
      <c r="BS129" s="485"/>
      <c r="BT129" s="416">
        <v>12</v>
      </c>
      <c r="BU129" s="416"/>
      <c r="BV129" s="416"/>
      <c r="BW129" s="416"/>
      <c r="BX129" s="416"/>
      <c r="BY129" s="416"/>
      <c r="BZ129" s="416"/>
      <c r="CA129" s="416"/>
      <c r="CB129" s="416"/>
      <c r="CC129" s="416"/>
      <c r="CD129" s="416"/>
      <c r="CE129" s="416"/>
      <c r="CF129" s="416"/>
      <c r="CG129" s="416"/>
      <c r="CH129" s="416"/>
      <c r="CI129" s="416"/>
      <c r="CJ129" s="486">
        <v>100000</v>
      </c>
      <c r="CK129" s="486"/>
      <c r="CL129" s="486"/>
      <c r="CM129" s="486"/>
      <c r="CN129" s="486"/>
      <c r="CO129" s="486"/>
      <c r="CP129" s="486"/>
      <c r="CQ129" s="486"/>
      <c r="CR129" s="486"/>
      <c r="CS129" s="486"/>
      <c r="CT129" s="486"/>
      <c r="CU129" s="486"/>
      <c r="CV129" s="486"/>
      <c r="CW129" s="486"/>
      <c r="CX129" s="486"/>
      <c r="CY129" s="486"/>
      <c r="CZ129" s="486"/>
      <c r="DA129" s="486"/>
    </row>
    <row r="130" spans="1:105" ht="12" customHeight="1">
      <c r="A130" s="416">
        <v>39</v>
      </c>
      <c r="B130" s="416"/>
      <c r="C130" s="416"/>
      <c r="D130" s="416"/>
      <c r="E130" s="416"/>
      <c r="F130" s="416"/>
      <c r="G130" s="416"/>
      <c r="H130" s="487" t="s">
        <v>417</v>
      </c>
      <c r="I130" s="488"/>
      <c r="J130" s="488"/>
      <c r="K130" s="488"/>
      <c r="L130" s="488"/>
      <c r="M130" s="488"/>
      <c r="N130" s="488"/>
      <c r="O130" s="488"/>
      <c r="P130" s="488"/>
      <c r="Q130" s="488"/>
      <c r="R130" s="488"/>
      <c r="S130" s="488"/>
      <c r="T130" s="488"/>
      <c r="U130" s="488"/>
      <c r="V130" s="488"/>
      <c r="W130" s="488"/>
      <c r="X130" s="488"/>
      <c r="Y130" s="488"/>
      <c r="Z130" s="488"/>
      <c r="AA130" s="488"/>
      <c r="AB130" s="488"/>
      <c r="AC130" s="488"/>
      <c r="AD130" s="488"/>
      <c r="AE130" s="488"/>
      <c r="AF130" s="488"/>
      <c r="AG130" s="488"/>
      <c r="AH130" s="488"/>
      <c r="AI130" s="488"/>
      <c r="AJ130" s="488"/>
      <c r="AK130" s="488"/>
      <c r="AL130" s="488"/>
      <c r="AM130" s="488"/>
      <c r="AN130" s="488"/>
      <c r="AO130" s="488"/>
      <c r="AP130" s="488"/>
      <c r="AQ130" s="488"/>
      <c r="AR130" s="488"/>
      <c r="AS130" s="488"/>
      <c r="AT130" s="488"/>
      <c r="AU130" s="488"/>
      <c r="AV130" s="488"/>
      <c r="AW130" s="488"/>
      <c r="AX130" s="488"/>
      <c r="AY130" s="488"/>
      <c r="AZ130" s="488"/>
      <c r="BA130" s="488"/>
      <c r="BB130" s="488"/>
      <c r="BC130" s="489"/>
      <c r="BD130" s="483"/>
      <c r="BE130" s="484"/>
      <c r="BF130" s="484"/>
      <c r="BG130" s="484"/>
      <c r="BH130" s="484"/>
      <c r="BI130" s="484"/>
      <c r="BJ130" s="484"/>
      <c r="BK130" s="484"/>
      <c r="BL130" s="484"/>
      <c r="BM130" s="484"/>
      <c r="BN130" s="484"/>
      <c r="BO130" s="484"/>
      <c r="BP130" s="484"/>
      <c r="BQ130" s="484"/>
      <c r="BR130" s="484"/>
      <c r="BS130" s="485"/>
      <c r="BT130" s="416">
        <v>1</v>
      </c>
      <c r="BU130" s="416"/>
      <c r="BV130" s="416"/>
      <c r="BW130" s="416"/>
      <c r="BX130" s="416"/>
      <c r="BY130" s="416"/>
      <c r="BZ130" s="416"/>
      <c r="CA130" s="416"/>
      <c r="CB130" s="416"/>
      <c r="CC130" s="416"/>
      <c r="CD130" s="416"/>
      <c r="CE130" s="416"/>
      <c r="CF130" s="416"/>
      <c r="CG130" s="416"/>
      <c r="CH130" s="416"/>
      <c r="CI130" s="416"/>
      <c r="CJ130" s="486">
        <v>300000</v>
      </c>
      <c r="CK130" s="486"/>
      <c r="CL130" s="486"/>
      <c r="CM130" s="486"/>
      <c r="CN130" s="486"/>
      <c r="CO130" s="486"/>
      <c r="CP130" s="486"/>
      <c r="CQ130" s="486"/>
      <c r="CR130" s="486"/>
      <c r="CS130" s="486"/>
      <c r="CT130" s="486"/>
      <c r="CU130" s="486"/>
      <c r="CV130" s="486"/>
      <c r="CW130" s="486"/>
      <c r="CX130" s="486"/>
      <c r="CY130" s="486"/>
      <c r="CZ130" s="486"/>
      <c r="DA130" s="486"/>
    </row>
    <row r="131" spans="1:105" ht="12" customHeight="1">
      <c r="A131" s="416">
        <v>40</v>
      </c>
      <c r="B131" s="416"/>
      <c r="C131" s="416"/>
      <c r="D131" s="416"/>
      <c r="E131" s="416"/>
      <c r="F131" s="416"/>
      <c r="G131" s="416"/>
      <c r="H131" s="487" t="s">
        <v>418</v>
      </c>
      <c r="I131" s="488"/>
      <c r="J131" s="488"/>
      <c r="K131" s="488"/>
      <c r="L131" s="488"/>
      <c r="M131" s="488"/>
      <c r="N131" s="488"/>
      <c r="O131" s="488"/>
      <c r="P131" s="488"/>
      <c r="Q131" s="488"/>
      <c r="R131" s="488"/>
      <c r="S131" s="488"/>
      <c r="T131" s="488"/>
      <c r="U131" s="488"/>
      <c r="V131" s="488"/>
      <c r="W131" s="488"/>
      <c r="X131" s="488"/>
      <c r="Y131" s="488"/>
      <c r="Z131" s="488"/>
      <c r="AA131" s="488"/>
      <c r="AB131" s="488"/>
      <c r="AC131" s="488"/>
      <c r="AD131" s="488"/>
      <c r="AE131" s="488"/>
      <c r="AF131" s="488"/>
      <c r="AG131" s="488"/>
      <c r="AH131" s="488"/>
      <c r="AI131" s="488"/>
      <c r="AJ131" s="488"/>
      <c r="AK131" s="488"/>
      <c r="AL131" s="488"/>
      <c r="AM131" s="488"/>
      <c r="AN131" s="488"/>
      <c r="AO131" s="488"/>
      <c r="AP131" s="488"/>
      <c r="AQ131" s="488"/>
      <c r="AR131" s="488"/>
      <c r="AS131" s="488"/>
      <c r="AT131" s="488"/>
      <c r="AU131" s="488"/>
      <c r="AV131" s="488"/>
      <c r="AW131" s="488"/>
      <c r="AX131" s="488"/>
      <c r="AY131" s="488"/>
      <c r="AZ131" s="488"/>
      <c r="BA131" s="488"/>
      <c r="BB131" s="488"/>
      <c r="BC131" s="489"/>
      <c r="BD131" s="483"/>
      <c r="BE131" s="484"/>
      <c r="BF131" s="484"/>
      <c r="BG131" s="484"/>
      <c r="BH131" s="484"/>
      <c r="BI131" s="484"/>
      <c r="BJ131" s="484"/>
      <c r="BK131" s="484"/>
      <c r="BL131" s="484"/>
      <c r="BM131" s="484"/>
      <c r="BN131" s="484"/>
      <c r="BO131" s="484"/>
      <c r="BP131" s="484"/>
      <c r="BQ131" s="484"/>
      <c r="BR131" s="484"/>
      <c r="BS131" s="485"/>
      <c r="BT131" s="416">
        <v>12</v>
      </c>
      <c r="BU131" s="416"/>
      <c r="BV131" s="416"/>
      <c r="BW131" s="416"/>
      <c r="BX131" s="416"/>
      <c r="BY131" s="416"/>
      <c r="BZ131" s="416"/>
      <c r="CA131" s="416"/>
      <c r="CB131" s="416"/>
      <c r="CC131" s="416"/>
      <c r="CD131" s="416"/>
      <c r="CE131" s="416"/>
      <c r="CF131" s="416"/>
      <c r="CG131" s="416"/>
      <c r="CH131" s="416"/>
      <c r="CI131" s="416"/>
      <c r="CJ131" s="486">
        <v>300000</v>
      </c>
      <c r="CK131" s="486"/>
      <c r="CL131" s="486"/>
      <c r="CM131" s="486"/>
      <c r="CN131" s="486"/>
      <c r="CO131" s="486"/>
      <c r="CP131" s="486"/>
      <c r="CQ131" s="486"/>
      <c r="CR131" s="486"/>
      <c r="CS131" s="486"/>
      <c r="CT131" s="486"/>
      <c r="CU131" s="486"/>
      <c r="CV131" s="486"/>
      <c r="CW131" s="486"/>
      <c r="CX131" s="486"/>
      <c r="CY131" s="486"/>
      <c r="CZ131" s="486"/>
      <c r="DA131" s="486"/>
    </row>
    <row r="132" spans="1:105" ht="12" customHeight="1">
      <c r="A132" s="416">
        <v>41</v>
      </c>
      <c r="B132" s="416"/>
      <c r="C132" s="416"/>
      <c r="D132" s="416"/>
      <c r="E132" s="416"/>
      <c r="F132" s="416"/>
      <c r="G132" s="416"/>
      <c r="H132" s="487" t="s">
        <v>419</v>
      </c>
      <c r="I132" s="488"/>
      <c r="J132" s="488"/>
      <c r="K132" s="488"/>
      <c r="L132" s="488"/>
      <c r="M132" s="488"/>
      <c r="N132" s="488"/>
      <c r="O132" s="488"/>
      <c r="P132" s="488"/>
      <c r="Q132" s="488"/>
      <c r="R132" s="488"/>
      <c r="S132" s="488"/>
      <c r="T132" s="488"/>
      <c r="U132" s="488"/>
      <c r="V132" s="488"/>
      <c r="W132" s="488"/>
      <c r="X132" s="488"/>
      <c r="Y132" s="488"/>
      <c r="Z132" s="488"/>
      <c r="AA132" s="488"/>
      <c r="AB132" s="488"/>
      <c r="AC132" s="488"/>
      <c r="AD132" s="488"/>
      <c r="AE132" s="488"/>
      <c r="AF132" s="488"/>
      <c r="AG132" s="488"/>
      <c r="AH132" s="488"/>
      <c r="AI132" s="488"/>
      <c r="AJ132" s="488"/>
      <c r="AK132" s="488"/>
      <c r="AL132" s="488"/>
      <c r="AM132" s="488"/>
      <c r="AN132" s="488"/>
      <c r="AO132" s="488"/>
      <c r="AP132" s="488"/>
      <c r="AQ132" s="488"/>
      <c r="AR132" s="488"/>
      <c r="AS132" s="488"/>
      <c r="AT132" s="488"/>
      <c r="AU132" s="488"/>
      <c r="AV132" s="488"/>
      <c r="AW132" s="488"/>
      <c r="AX132" s="488"/>
      <c r="AY132" s="488"/>
      <c r="AZ132" s="488"/>
      <c r="BA132" s="488"/>
      <c r="BB132" s="488"/>
      <c r="BC132" s="489"/>
      <c r="BD132" s="483"/>
      <c r="BE132" s="484"/>
      <c r="BF132" s="484"/>
      <c r="BG132" s="484"/>
      <c r="BH132" s="484"/>
      <c r="BI132" s="484"/>
      <c r="BJ132" s="484"/>
      <c r="BK132" s="484"/>
      <c r="BL132" s="484"/>
      <c r="BM132" s="484"/>
      <c r="BN132" s="484"/>
      <c r="BO132" s="484"/>
      <c r="BP132" s="484"/>
      <c r="BQ132" s="484"/>
      <c r="BR132" s="484"/>
      <c r="BS132" s="485"/>
      <c r="BT132" s="416">
        <v>12</v>
      </c>
      <c r="BU132" s="416"/>
      <c r="BV132" s="416"/>
      <c r="BW132" s="416"/>
      <c r="BX132" s="416"/>
      <c r="BY132" s="416"/>
      <c r="BZ132" s="416"/>
      <c r="CA132" s="416"/>
      <c r="CB132" s="416"/>
      <c r="CC132" s="416"/>
      <c r="CD132" s="416"/>
      <c r="CE132" s="416"/>
      <c r="CF132" s="416"/>
      <c r="CG132" s="416"/>
      <c r="CH132" s="416"/>
      <c r="CI132" s="416"/>
      <c r="CJ132" s="486">
        <v>70000</v>
      </c>
      <c r="CK132" s="486"/>
      <c r="CL132" s="486"/>
      <c r="CM132" s="486"/>
      <c r="CN132" s="486"/>
      <c r="CO132" s="486"/>
      <c r="CP132" s="486"/>
      <c r="CQ132" s="486"/>
      <c r="CR132" s="486"/>
      <c r="CS132" s="486"/>
      <c r="CT132" s="486"/>
      <c r="CU132" s="486"/>
      <c r="CV132" s="486"/>
      <c r="CW132" s="486"/>
      <c r="CX132" s="486"/>
      <c r="CY132" s="486"/>
      <c r="CZ132" s="486"/>
      <c r="DA132" s="486"/>
    </row>
    <row r="133" spans="1:162" ht="12" customHeight="1">
      <c r="A133" s="407"/>
      <c r="B133" s="407"/>
      <c r="C133" s="407"/>
      <c r="D133" s="407"/>
      <c r="E133" s="407"/>
      <c r="F133" s="407"/>
      <c r="G133" s="407"/>
      <c r="H133" s="477" t="s">
        <v>233</v>
      </c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  <c r="U133" s="478"/>
      <c r="V133" s="478"/>
      <c r="W133" s="478"/>
      <c r="X133" s="478"/>
      <c r="Y133" s="478"/>
      <c r="Z133" s="478"/>
      <c r="AA133" s="478"/>
      <c r="AB133" s="478"/>
      <c r="AC133" s="478"/>
      <c r="AD133" s="478"/>
      <c r="AE133" s="478"/>
      <c r="AF133" s="478"/>
      <c r="AG133" s="478"/>
      <c r="AH133" s="478"/>
      <c r="AI133" s="478"/>
      <c r="AJ133" s="478"/>
      <c r="AK133" s="478"/>
      <c r="AL133" s="478"/>
      <c r="AM133" s="478"/>
      <c r="AN133" s="478"/>
      <c r="AO133" s="478"/>
      <c r="AP133" s="478"/>
      <c r="AQ133" s="478"/>
      <c r="AR133" s="478"/>
      <c r="AS133" s="478"/>
      <c r="AT133" s="478"/>
      <c r="AU133" s="478"/>
      <c r="AV133" s="478"/>
      <c r="AW133" s="478"/>
      <c r="AX133" s="478"/>
      <c r="AY133" s="478"/>
      <c r="AZ133" s="478"/>
      <c r="BA133" s="478"/>
      <c r="BB133" s="478"/>
      <c r="BC133" s="479"/>
      <c r="BD133" s="413" t="s">
        <v>234</v>
      </c>
      <c r="BE133" s="413"/>
      <c r="BF133" s="413"/>
      <c r="BG133" s="413"/>
      <c r="BH133" s="413"/>
      <c r="BI133" s="413"/>
      <c r="BJ133" s="413"/>
      <c r="BK133" s="413"/>
      <c r="BL133" s="413"/>
      <c r="BM133" s="413"/>
      <c r="BN133" s="413"/>
      <c r="BO133" s="413"/>
      <c r="BP133" s="413"/>
      <c r="BQ133" s="413"/>
      <c r="BR133" s="413"/>
      <c r="BS133" s="413"/>
      <c r="BT133" s="413" t="s">
        <v>234</v>
      </c>
      <c r="BU133" s="413"/>
      <c r="BV133" s="413"/>
      <c r="BW133" s="413"/>
      <c r="BX133" s="413"/>
      <c r="BY133" s="413"/>
      <c r="BZ133" s="413"/>
      <c r="CA133" s="413"/>
      <c r="CB133" s="413"/>
      <c r="CC133" s="413"/>
      <c r="CD133" s="413"/>
      <c r="CE133" s="413"/>
      <c r="CF133" s="413"/>
      <c r="CG133" s="413"/>
      <c r="CH133" s="413"/>
      <c r="CI133" s="413"/>
      <c r="CJ133" s="490">
        <f>SUM(CJ93:CJ132)</f>
        <v>21390000</v>
      </c>
      <c r="CK133" s="413"/>
      <c r="CL133" s="413"/>
      <c r="CM133" s="413"/>
      <c r="CN133" s="413"/>
      <c r="CO133" s="413"/>
      <c r="CP133" s="413"/>
      <c r="CQ133" s="413"/>
      <c r="CR133" s="413"/>
      <c r="CS133" s="413"/>
      <c r="CT133" s="413"/>
      <c r="CU133" s="413"/>
      <c r="CV133" s="413"/>
      <c r="CW133" s="413"/>
      <c r="CX133" s="413"/>
      <c r="CY133" s="413"/>
      <c r="CZ133" s="413"/>
      <c r="DA133" s="413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</row>
    <row r="134" spans="106:162" ht="12" customHeight="1"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3"/>
      <c r="DX134" s="83"/>
      <c r="DY134" s="83"/>
      <c r="DZ134" s="83"/>
      <c r="EA134" s="83"/>
      <c r="EB134" s="83"/>
      <c r="EC134" s="83"/>
      <c r="ED134" s="83"/>
      <c r="EE134" s="83"/>
      <c r="EF134" s="83"/>
      <c r="EG134" s="83"/>
      <c r="EH134" s="83"/>
      <c r="EI134" s="83"/>
      <c r="EJ134" s="83"/>
      <c r="EK134" s="83"/>
      <c r="EL134" s="83"/>
      <c r="EM134" s="83"/>
      <c r="EN134" s="83"/>
      <c r="EO134" s="83"/>
      <c r="EP134" s="83"/>
      <c r="EQ134" s="83"/>
      <c r="ER134" s="83"/>
      <c r="ES134" s="83"/>
      <c r="ET134" s="83"/>
      <c r="EU134" s="83"/>
      <c r="EV134" s="83"/>
      <c r="EW134" s="83"/>
      <c r="EX134" s="83"/>
      <c r="EY134" s="83"/>
      <c r="EZ134" s="83"/>
      <c r="FA134" s="83"/>
      <c r="FB134" s="83"/>
      <c r="FC134" s="83"/>
      <c r="FD134" s="83"/>
      <c r="FE134" s="83"/>
      <c r="FF134" s="83"/>
    </row>
    <row r="135" spans="1:162" ht="12" customHeight="1">
      <c r="A135" s="199" t="s">
        <v>302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  <c r="CL135" s="199"/>
      <c r="CM135" s="199"/>
      <c r="CN135" s="199"/>
      <c r="CO135" s="199"/>
      <c r="CP135" s="199"/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</row>
    <row r="136" spans="106:162" ht="12" customHeight="1"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</row>
    <row r="137" spans="1:162" ht="12" customHeight="1">
      <c r="A137" s="419" t="s">
        <v>192</v>
      </c>
      <c r="B137" s="420"/>
      <c r="C137" s="420"/>
      <c r="D137" s="420"/>
      <c r="E137" s="420"/>
      <c r="F137" s="420"/>
      <c r="G137" s="421"/>
      <c r="H137" s="201" t="s">
        <v>273</v>
      </c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2"/>
      <c r="BH137" s="202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3"/>
      <c r="BT137" s="419" t="s">
        <v>303</v>
      </c>
      <c r="BU137" s="420"/>
      <c r="BV137" s="420"/>
      <c r="BW137" s="420"/>
      <c r="BX137" s="420"/>
      <c r="BY137" s="420"/>
      <c r="BZ137" s="420"/>
      <c r="CA137" s="420"/>
      <c r="CB137" s="420"/>
      <c r="CC137" s="420"/>
      <c r="CD137" s="420"/>
      <c r="CE137" s="420"/>
      <c r="CF137" s="420"/>
      <c r="CG137" s="420"/>
      <c r="CH137" s="420"/>
      <c r="CI137" s="421"/>
      <c r="CJ137" s="419" t="s">
        <v>304</v>
      </c>
      <c r="CK137" s="420"/>
      <c r="CL137" s="420"/>
      <c r="CM137" s="420"/>
      <c r="CN137" s="420"/>
      <c r="CO137" s="420"/>
      <c r="CP137" s="420"/>
      <c r="CQ137" s="420"/>
      <c r="CR137" s="420"/>
      <c r="CS137" s="420"/>
      <c r="CT137" s="420"/>
      <c r="CU137" s="420"/>
      <c r="CV137" s="420"/>
      <c r="CW137" s="420"/>
      <c r="CX137" s="420"/>
      <c r="CY137" s="420"/>
      <c r="CZ137" s="420"/>
      <c r="DA137" s="421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</row>
    <row r="138" spans="1:105" ht="12" customHeight="1">
      <c r="A138" s="416">
        <v>1</v>
      </c>
      <c r="B138" s="416"/>
      <c r="C138" s="416"/>
      <c r="D138" s="416"/>
      <c r="E138" s="416"/>
      <c r="F138" s="416"/>
      <c r="G138" s="416"/>
      <c r="H138" s="196">
        <v>2</v>
      </c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8"/>
      <c r="BT138" s="416">
        <v>3</v>
      </c>
      <c r="BU138" s="416"/>
      <c r="BV138" s="416"/>
      <c r="BW138" s="416"/>
      <c r="BX138" s="416"/>
      <c r="BY138" s="416"/>
      <c r="BZ138" s="416"/>
      <c r="CA138" s="416"/>
      <c r="CB138" s="416"/>
      <c r="CC138" s="416"/>
      <c r="CD138" s="416"/>
      <c r="CE138" s="416"/>
      <c r="CF138" s="416"/>
      <c r="CG138" s="416"/>
      <c r="CH138" s="416"/>
      <c r="CI138" s="416"/>
      <c r="CJ138" s="416">
        <v>4</v>
      </c>
      <c r="CK138" s="416"/>
      <c r="CL138" s="416"/>
      <c r="CM138" s="416"/>
      <c r="CN138" s="416"/>
      <c r="CO138" s="416"/>
      <c r="CP138" s="416"/>
      <c r="CQ138" s="416"/>
      <c r="CR138" s="416"/>
      <c r="CS138" s="416"/>
      <c r="CT138" s="416"/>
      <c r="CU138" s="416"/>
      <c r="CV138" s="416"/>
      <c r="CW138" s="416"/>
      <c r="CX138" s="416"/>
      <c r="CY138" s="416"/>
      <c r="CZ138" s="416"/>
      <c r="DA138" s="416"/>
    </row>
    <row r="139" spans="1:105" ht="12" customHeight="1">
      <c r="A139" s="407" t="s">
        <v>169</v>
      </c>
      <c r="B139" s="407"/>
      <c r="C139" s="407"/>
      <c r="D139" s="407"/>
      <c r="E139" s="407"/>
      <c r="F139" s="407"/>
      <c r="G139" s="407"/>
      <c r="H139" s="434" t="s">
        <v>420</v>
      </c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  <c r="AW139" s="435"/>
      <c r="AX139" s="435"/>
      <c r="AY139" s="435"/>
      <c r="AZ139" s="435"/>
      <c r="BA139" s="435"/>
      <c r="BB139" s="435"/>
      <c r="BC139" s="435"/>
      <c r="BD139" s="435"/>
      <c r="BE139" s="435"/>
      <c r="BF139" s="435"/>
      <c r="BG139" s="435"/>
      <c r="BH139" s="435"/>
      <c r="BI139" s="435"/>
      <c r="BJ139" s="435"/>
      <c r="BK139" s="435"/>
      <c r="BL139" s="435"/>
      <c r="BM139" s="435"/>
      <c r="BN139" s="435"/>
      <c r="BO139" s="435"/>
      <c r="BP139" s="435"/>
      <c r="BQ139" s="435"/>
      <c r="BR139" s="435"/>
      <c r="BS139" s="436"/>
      <c r="BT139" s="409"/>
      <c r="BU139" s="409"/>
      <c r="BV139" s="409"/>
      <c r="BW139" s="409"/>
      <c r="BX139" s="409"/>
      <c r="BY139" s="409"/>
      <c r="BZ139" s="409"/>
      <c r="CA139" s="409"/>
      <c r="CB139" s="409"/>
      <c r="CC139" s="409"/>
      <c r="CD139" s="409"/>
      <c r="CE139" s="409"/>
      <c r="CF139" s="409"/>
      <c r="CG139" s="409"/>
      <c r="CH139" s="409"/>
      <c r="CI139" s="409"/>
      <c r="CJ139" s="471">
        <v>150000</v>
      </c>
      <c r="CK139" s="471"/>
      <c r="CL139" s="471"/>
      <c r="CM139" s="471"/>
      <c r="CN139" s="471"/>
      <c r="CO139" s="471"/>
      <c r="CP139" s="471"/>
      <c r="CQ139" s="471"/>
      <c r="CR139" s="471"/>
      <c r="CS139" s="471"/>
      <c r="CT139" s="471"/>
      <c r="CU139" s="471"/>
      <c r="CV139" s="471"/>
      <c r="CW139" s="471"/>
      <c r="CX139" s="471"/>
      <c r="CY139" s="471"/>
      <c r="CZ139" s="471"/>
      <c r="DA139" s="471"/>
    </row>
    <row r="140" spans="1:105" ht="12" customHeight="1">
      <c r="A140" s="407" t="s">
        <v>37</v>
      </c>
      <c r="B140" s="407"/>
      <c r="C140" s="407"/>
      <c r="D140" s="407"/>
      <c r="E140" s="407"/>
      <c r="F140" s="407"/>
      <c r="G140" s="407"/>
      <c r="H140" s="434" t="s">
        <v>421</v>
      </c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  <c r="AW140" s="435"/>
      <c r="AX140" s="435"/>
      <c r="AY140" s="435"/>
      <c r="AZ140" s="435"/>
      <c r="BA140" s="435"/>
      <c r="BB140" s="435"/>
      <c r="BC140" s="435"/>
      <c r="BD140" s="435"/>
      <c r="BE140" s="435"/>
      <c r="BF140" s="435"/>
      <c r="BG140" s="435"/>
      <c r="BH140" s="435"/>
      <c r="BI140" s="435"/>
      <c r="BJ140" s="435"/>
      <c r="BK140" s="435"/>
      <c r="BL140" s="435"/>
      <c r="BM140" s="435"/>
      <c r="BN140" s="435"/>
      <c r="BO140" s="435"/>
      <c r="BP140" s="435"/>
      <c r="BQ140" s="435"/>
      <c r="BR140" s="435"/>
      <c r="BS140" s="436"/>
      <c r="BT140" s="409"/>
      <c r="BU140" s="409"/>
      <c r="BV140" s="409"/>
      <c r="BW140" s="409"/>
      <c r="BX140" s="409"/>
      <c r="BY140" s="409"/>
      <c r="BZ140" s="409"/>
      <c r="CA140" s="409"/>
      <c r="CB140" s="409"/>
      <c r="CC140" s="409"/>
      <c r="CD140" s="409"/>
      <c r="CE140" s="409"/>
      <c r="CF140" s="409"/>
      <c r="CG140" s="409"/>
      <c r="CH140" s="409"/>
      <c r="CI140" s="409"/>
      <c r="CJ140" s="471">
        <v>1500000</v>
      </c>
      <c r="CK140" s="471"/>
      <c r="CL140" s="471"/>
      <c r="CM140" s="471"/>
      <c r="CN140" s="471"/>
      <c r="CO140" s="471"/>
      <c r="CP140" s="471"/>
      <c r="CQ140" s="471"/>
      <c r="CR140" s="471"/>
      <c r="CS140" s="471"/>
      <c r="CT140" s="471"/>
      <c r="CU140" s="471"/>
      <c r="CV140" s="471"/>
      <c r="CW140" s="471"/>
      <c r="CX140" s="471"/>
      <c r="CY140" s="471"/>
      <c r="CZ140" s="471"/>
      <c r="DA140" s="471"/>
    </row>
    <row r="141" spans="1:105" ht="12" customHeight="1">
      <c r="A141" s="407" t="s">
        <v>38</v>
      </c>
      <c r="B141" s="407"/>
      <c r="C141" s="407"/>
      <c r="D141" s="407"/>
      <c r="E141" s="407"/>
      <c r="F141" s="407"/>
      <c r="G141" s="407"/>
      <c r="H141" s="434" t="s">
        <v>422</v>
      </c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  <c r="AW141" s="435"/>
      <c r="AX141" s="435"/>
      <c r="AY141" s="435"/>
      <c r="AZ141" s="435"/>
      <c r="BA141" s="435"/>
      <c r="BB141" s="435"/>
      <c r="BC141" s="435"/>
      <c r="BD141" s="435"/>
      <c r="BE141" s="435"/>
      <c r="BF141" s="435"/>
      <c r="BG141" s="435"/>
      <c r="BH141" s="435"/>
      <c r="BI141" s="435"/>
      <c r="BJ141" s="435"/>
      <c r="BK141" s="435"/>
      <c r="BL141" s="435"/>
      <c r="BM141" s="435"/>
      <c r="BN141" s="435"/>
      <c r="BO141" s="435"/>
      <c r="BP141" s="435"/>
      <c r="BQ141" s="435"/>
      <c r="BR141" s="435"/>
      <c r="BS141" s="436"/>
      <c r="BT141" s="409"/>
      <c r="BU141" s="409"/>
      <c r="BV141" s="409"/>
      <c r="BW141" s="409"/>
      <c r="BX141" s="409"/>
      <c r="BY141" s="409"/>
      <c r="BZ141" s="409"/>
      <c r="CA141" s="409"/>
      <c r="CB141" s="409"/>
      <c r="CC141" s="409"/>
      <c r="CD141" s="409"/>
      <c r="CE141" s="409"/>
      <c r="CF141" s="409"/>
      <c r="CG141" s="409"/>
      <c r="CH141" s="409"/>
      <c r="CI141" s="409"/>
      <c r="CJ141" s="471">
        <v>550000</v>
      </c>
      <c r="CK141" s="471"/>
      <c r="CL141" s="471"/>
      <c r="CM141" s="471"/>
      <c r="CN141" s="471"/>
      <c r="CO141" s="471"/>
      <c r="CP141" s="471"/>
      <c r="CQ141" s="471"/>
      <c r="CR141" s="471"/>
      <c r="CS141" s="471"/>
      <c r="CT141" s="471"/>
      <c r="CU141" s="471"/>
      <c r="CV141" s="471"/>
      <c r="CW141" s="471"/>
      <c r="CX141" s="471"/>
      <c r="CY141" s="471"/>
      <c r="CZ141" s="471"/>
      <c r="DA141" s="471"/>
    </row>
    <row r="142" spans="1:105" ht="12" customHeight="1">
      <c r="A142" s="407" t="s">
        <v>319</v>
      </c>
      <c r="B142" s="407"/>
      <c r="C142" s="407"/>
      <c r="D142" s="407"/>
      <c r="E142" s="407"/>
      <c r="F142" s="407"/>
      <c r="G142" s="407"/>
      <c r="H142" s="434" t="s">
        <v>423</v>
      </c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  <c r="AW142" s="435"/>
      <c r="AX142" s="435"/>
      <c r="AY142" s="435"/>
      <c r="AZ142" s="435"/>
      <c r="BA142" s="435"/>
      <c r="BB142" s="435"/>
      <c r="BC142" s="435"/>
      <c r="BD142" s="435"/>
      <c r="BE142" s="435"/>
      <c r="BF142" s="435"/>
      <c r="BG142" s="435"/>
      <c r="BH142" s="435"/>
      <c r="BI142" s="435"/>
      <c r="BJ142" s="435"/>
      <c r="BK142" s="435"/>
      <c r="BL142" s="435"/>
      <c r="BM142" s="435"/>
      <c r="BN142" s="435"/>
      <c r="BO142" s="435"/>
      <c r="BP142" s="435"/>
      <c r="BQ142" s="435"/>
      <c r="BR142" s="435"/>
      <c r="BS142" s="436"/>
      <c r="BT142" s="409"/>
      <c r="BU142" s="409"/>
      <c r="BV142" s="409"/>
      <c r="BW142" s="409"/>
      <c r="BX142" s="409"/>
      <c r="BY142" s="409"/>
      <c r="BZ142" s="409"/>
      <c r="CA142" s="409"/>
      <c r="CB142" s="409"/>
      <c r="CC142" s="409"/>
      <c r="CD142" s="409"/>
      <c r="CE142" s="409"/>
      <c r="CF142" s="409"/>
      <c r="CG142" s="409"/>
      <c r="CH142" s="409"/>
      <c r="CI142" s="409"/>
      <c r="CJ142" s="471">
        <v>1500000</v>
      </c>
      <c r="CK142" s="471"/>
      <c r="CL142" s="471"/>
      <c r="CM142" s="471"/>
      <c r="CN142" s="471"/>
      <c r="CO142" s="471"/>
      <c r="CP142" s="471"/>
      <c r="CQ142" s="471"/>
      <c r="CR142" s="471"/>
      <c r="CS142" s="471"/>
      <c r="CT142" s="471"/>
      <c r="CU142" s="471"/>
      <c r="CV142" s="471"/>
      <c r="CW142" s="471"/>
      <c r="CX142" s="471"/>
      <c r="CY142" s="471"/>
      <c r="CZ142" s="471"/>
      <c r="DA142" s="471"/>
    </row>
    <row r="143" spans="1:105" ht="12" customHeight="1">
      <c r="A143" s="407" t="s">
        <v>320</v>
      </c>
      <c r="B143" s="407"/>
      <c r="C143" s="407"/>
      <c r="D143" s="407"/>
      <c r="E143" s="407"/>
      <c r="F143" s="407"/>
      <c r="G143" s="407"/>
      <c r="H143" s="434" t="s">
        <v>424</v>
      </c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  <c r="AW143" s="435"/>
      <c r="AX143" s="435"/>
      <c r="AY143" s="435"/>
      <c r="AZ143" s="435"/>
      <c r="BA143" s="435"/>
      <c r="BB143" s="435"/>
      <c r="BC143" s="435"/>
      <c r="BD143" s="435"/>
      <c r="BE143" s="435"/>
      <c r="BF143" s="435"/>
      <c r="BG143" s="435"/>
      <c r="BH143" s="435"/>
      <c r="BI143" s="435"/>
      <c r="BJ143" s="435"/>
      <c r="BK143" s="435"/>
      <c r="BL143" s="435"/>
      <c r="BM143" s="435"/>
      <c r="BN143" s="435"/>
      <c r="BO143" s="435"/>
      <c r="BP143" s="435"/>
      <c r="BQ143" s="435"/>
      <c r="BR143" s="435"/>
      <c r="BS143" s="436"/>
      <c r="BT143" s="409"/>
      <c r="BU143" s="409"/>
      <c r="BV143" s="409"/>
      <c r="BW143" s="409"/>
      <c r="BX143" s="409"/>
      <c r="BY143" s="409"/>
      <c r="BZ143" s="409"/>
      <c r="CA143" s="409"/>
      <c r="CB143" s="409"/>
      <c r="CC143" s="409"/>
      <c r="CD143" s="409"/>
      <c r="CE143" s="409"/>
      <c r="CF143" s="409"/>
      <c r="CG143" s="409"/>
      <c r="CH143" s="409"/>
      <c r="CI143" s="409"/>
      <c r="CJ143" s="471">
        <v>100000</v>
      </c>
      <c r="CK143" s="471"/>
      <c r="CL143" s="471"/>
      <c r="CM143" s="471"/>
      <c r="CN143" s="471"/>
      <c r="CO143" s="471"/>
      <c r="CP143" s="471"/>
      <c r="CQ143" s="471"/>
      <c r="CR143" s="471"/>
      <c r="CS143" s="471"/>
      <c r="CT143" s="471"/>
      <c r="CU143" s="471"/>
      <c r="CV143" s="471"/>
      <c r="CW143" s="471"/>
      <c r="CX143" s="471"/>
      <c r="CY143" s="471"/>
      <c r="CZ143" s="471"/>
      <c r="DA143" s="471"/>
    </row>
    <row r="144" spans="1:105" ht="12" customHeight="1">
      <c r="A144" s="407" t="s">
        <v>321</v>
      </c>
      <c r="B144" s="407"/>
      <c r="C144" s="407"/>
      <c r="D144" s="407"/>
      <c r="E144" s="407"/>
      <c r="F144" s="407"/>
      <c r="G144" s="407"/>
      <c r="H144" s="434" t="s">
        <v>425</v>
      </c>
      <c r="I144" s="435"/>
      <c r="J144" s="435"/>
      <c r="K144" s="435"/>
      <c r="L144" s="435"/>
      <c r="M144" s="435"/>
      <c r="N144" s="435"/>
      <c r="O144" s="435"/>
      <c r="P144" s="435"/>
      <c r="Q144" s="435"/>
      <c r="R144" s="435"/>
      <c r="S144" s="435"/>
      <c r="T144" s="435"/>
      <c r="U144" s="435"/>
      <c r="V144" s="435"/>
      <c r="W144" s="435"/>
      <c r="X144" s="435"/>
      <c r="Y144" s="435"/>
      <c r="Z144" s="435"/>
      <c r="AA144" s="435"/>
      <c r="AB144" s="435"/>
      <c r="AC144" s="435"/>
      <c r="AD144" s="435"/>
      <c r="AE144" s="435"/>
      <c r="AF144" s="435"/>
      <c r="AG144" s="435"/>
      <c r="AH144" s="435"/>
      <c r="AI144" s="435"/>
      <c r="AJ144" s="435"/>
      <c r="AK144" s="435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  <c r="AW144" s="435"/>
      <c r="AX144" s="435"/>
      <c r="AY144" s="435"/>
      <c r="AZ144" s="435"/>
      <c r="BA144" s="435"/>
      <c r="BB144" s="435"/>
      <c r="BC144" s="435"/>
      <c r="BD144" s="435"/>
      <c r="BE144" s="435"/>
      <c r="BF144" s="435"/>
      <c r="BG144" s="435"/>
      <c r="BH144" s="435"/>
      <c r="BI144" s="435"/>
      <c r="BJ144" s="435"/>
      <c r="BK144" s="435"/>
      <c r="BL144" s="435"/>
      <c r="BM144" s="435"/>
      <c r="BN144" s="435"/>
      <c r="BO144" s="435"/>
      <c r="BP144" s="435"/>
      <c r="BQ144" s="435"/>
      <c r="BR144" s="435"/>
      <c r="BS144" s="436"/>
      <c r="BT144" s="409"/>
      <c r="BU144" s="409"/>
      <c r="BV144" s="409"/>
      <c r="BW144" s="409"/>
      <c r="BX144" s="409"/>
      <c r="BY144" s="409"/>
      <c r="BZ144" s="409"/>
      <c r="CA144" s="409"/>
      <c r="CB144" s="409"/>
      <c r="CC144" s="409"/>
      <c r="CD144" s="409"/>
      <c r="CE144" s="409"/>
      <c r="CF144" s="409"/>
      <c r="CG144" s="409"/>
      <c r="CH144" s="409"/>
      <c r="CI144" s="409"/>
      <c r="CJ144" s="471">
        <v>50000</v>
      </c>
      <c r="CK144" s="471"/>
      <c r="CL144" s="471"/>
      <c r="CM144" s="471"/>
      <c r="CN144" s="471"/>
      <c r="CO144" s="471"/>
      <c r="CP144" s="471"/>
      <c r="CQ144" s="471"/>
      <c r="CR144" s="471"/>
      <c r="CS144" s="471"/>
      <c r="CT144" s="471"/>
      <c r="CU144" s="471"/>
      <c r="CV144" s="471"/>
      <c r="CW144" s="471"/>
      <c r="CX144" s="471"/>
      <c r="CY144" s="471"/>
      <c r="CZ144" s="471"/>
      <c r="DA144" s="471"/>
    </row>
    <row r="145" spans="1:105" ht="12" customHeight="1">
      <c r="A145" s="407" t="s">
        <v>322</v>
      </c>
      <c r="B145" s="407"/>
      <c r="C145" s="407"/>
      <c r="D145" s="407"/>
      <c r="E145" s="407"/>
      <c r="F145" s="407"/>
      <c r="G145" s="407"/>
      <c r="H145" s="434" t="s">
        <v>426</v>
      </c>
      <c r="I145" s="435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/>
      <c r="AJ145" s="435"/>
      <c r="AK145" s="435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  <c r="AW145" s="435"/>
      <c r="AX145" s="435"/>
      <c r="AY145" s="435"/>
      <c r="AZ145" s="435"/>
      <c r="BA145" s="435"/>
      <c r="BB145" s="435"/>
      <c r="BC145" s="435"/>
      <c r="BD145" s="435"/>
      <c r="BE145" s="435"/>
      <c r="BF145" s="435"/>
      <c r="BG145" s="435"/>
      <c r="BH145" s="435"/>
      <c r="BI145" s="435"/>
      <c r="BJ145" s="435"/>
      <c r="BK145" s="435"/>
      <c r="BL145" s="435"/>
      <c r="BM145" s="435"/>
      <c r="BN145" s="435"/>
      <c r="BO145" s="435"/>
      <c r="BP145" s="435"/>
      <c r="BQ145" s="435"/>
      <c r="BR145" s="435"/>
      <c r="BS145" s="436"/>
      <c r="BT145" s="409"/>
      <c r="BU145" s="409"/>
      <c r="BV145" s="409"/>
      <c r="BW145" s="409"/>
      <c r="BX145" s="409"/>
      <c r="BY145" s="409"/>
      <c r="BZ145" s="409"/>
      <c r="CA145" s="409"/>
      <c r="CB145" s="409"/>
      <c r="CC145" s="409"/>
      <c r="CD145" s="409"/>
      <c r="CE145" s="409"/>
      <c r="CF145" s="409"/>
      <c r="CG145" s="409"/>
      <c r="CH145" s="409"/>
      <c r="CI145" s="409"/>
      <c r="CJ145" s="471">
        <v>100000</v>
      </c>
      <c r="CK145" s="471"/>
      <c r="CL145" s="471"/>
      <c r="CM145" s="471"/>
      <c r="CN145" s="471"/>
      <c r="CO145" s="471"/>
      <c r="CP145" s="471"/>
      <c r="CQ145" s="471"/>
      <c r="CR145" s="471"/>
      <c r="CS145" s="471"/>
      <c r="CT145" s="471"/>
      <c r="CU145" s="471"/>
      <c r="CV145" s="471"/>
      <c r="CW145" s="471"/>
      <c r="CX145" s="471"/>
      <c r="CY145" s="471"/>
      <c r="CZ145" s="471"/>
      <c r="DA145" s="471"/>
    </row>
    <row r="146" spans="1:105" ht="12" customHeight="1">
      <c r="A146" s="407" t="s">
        <v>323</v>
      </c>
      <c r="B146" s="407"/>
      <c r="C146" s="407"/>
      <c r="D146" s="407"/>
      <c r="E146" s="407"/>
      <c r="F146" s="407"/>
      <c r="G146" s="407"/>
      <c r="H146" s="434" t="s">
        <v>427</v>
      </c>
      <c r="I146" s="435"/>
      <c r="J146" s="435"/>
      <c r="K146" s="435"/>
      <c r="L146" s="435"/>
      <c r="M146" s="435"/>
      <c r="N146" s="435"/>
      <c r="O146" s="435"/>
      <c r="P146" s="435"/>
      <c r="Q146" s="435"/>
      <c r="R146" s="435"/>
      <c r="S146" s="435"/>
      <c r="T146" s="435"/>
      <c r="U146" s="435"/>
      <c r="V146" s="435"/>
      <c r="W146" s="435"/>
      <c r="X146" s="435"/>
      <c r="Y146" s="435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/>
      <c r="AJ146" s="435"/>
      <c r="AK146" s="435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  <c r="AW146" s="435"/>
      <c r="AX146" s="435"/>
      <c r="AY146" s="435"/>
      <c r="AZ146" s="435"/>
      <c r="BA146" s="435"/>
      <c r="BB146" s="435"/>
      <c r="BC146" s="435"/>
      <c r="BD146" s="435"/>
      <c r="BE146" s="435"/>
      <c r="BF146" s="435"/>
      <c r="BG146" s="435"/>
      <c r="BH146" s="435"/>
      <c r="BI146" s="435"/>
      <c r="BJ146" s="435"/>
      <c r="BK146" s="435"/>
      <c r="BL146" s="435"/>
      <c r="BM146" s="435"/>
      <c r="BN146" s="435"/>
      <c r="BO146" s="435"/>
      <c r="BP146" s="435"/>
      <c r="BQ146" s="435"/>
      <c r="BR146" s="435"/>
      <c r="BS146" s="436"/>
      <c r="BT146" s="409"/>
      <c r="BU146" s="409"/>
      <c r="BV146" s="409"/>
      <c r="BW146" s="409"/>
      <c r="BX146" s="409"/>
      <c r="BY146" s="409"/>
      <c r="BZ146" s="409"/>
      <c r="CA146" s="409"/>
      <c r="CB146" s="409"/>
      <c r="CC146" s="409"/>
      <c r="CD146" s="409"/>
      <c r="CE146" s="409"/>
      <c r="CF146" s="409"/>
      <c r="CG146" s="409"/>
      <c r="CH146" s="409"/>
      <c r="CI146" s="409"/>
      <c r="CJ146" s="471">
        <v>1200000</v>
      </c>
      <c r="CK146" s="471"/>
      <c r="CL146" s="471"/>
      <c r="CM146" s="471"/>
      <c r="CN146" s="471"/>
      <c r="CO146" s="471"/>
      <c r="CP146" s="471"/>
      <c r="CQ146" s="471"/>
      <c r="CR146" s="471"/>
      <c r="CS146" s="471"/>
      <c r="CT146" s="471"/>
      <c r="CU146" s="471"/>
      <c r="CV146" s="471"/>
      <c r="CW146" s="471"/>
      <c r="CX146" s="471"/>
      <c r="CY146" s="471"/>
      <c r="CZ146" s="471"/>
      <c r="DA146" s="471"/>
    </row>
    <row r="147" spans="1:105" ht="12" customHeight="1">
      <c r="A147" s="407" t="s">
        <v>324</v>
      </c>
      <c r="B147" s="407"/>
      <c r="C147" s="407"/>
      <c r="D147" s="407"/>
      <c r="E147" s="407"/>
      <c r="F147" s="407"/>
      <c r="G147" s="407"/>
      <c r="H147" s="434" t="s">
        <v>428</v>
      </c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5"/>
      <c r="BD147" s="435"/>
      <c r="BE147" s="435"/>
      <c r="BF147" s="435"/>
      <c r="BG147" s="435"/>
      <c r="BH147" s="435"/>
      <c r="BI147" s="435"/>
      <c r="BJ147" s="435"/>
      <c r="BK147" s="435"/>
      <c r="BL147" s="435"/>
      <c r="BM147" s="435"/>
      <c r="BN147" s="435"/>
      <c r="BO147" s="435"/>
      <c r="BP147" s="435"/>
      <c r="BQ147" s="435"/>
      <c r="BR147" s="435"/>
      <c r="BS147" s="436"/>
      <c r="BT147" s="409"/>
      <c r="BU147" s="409"/>
      <c r="BV147" s="409"/>
      <c r="BW147" s="409"/>
      <c r="BX147" s="409"/>
      <c r="BY147" s="409"/>
      <c r="BZ147" s="409"/>
      <c r="CA147" s="409"/>
      <c r="CB147" s="409"/>
      <c r="CC147" s="409"/>
      <c r="CD147" s="409"/>
      <c r="CE147" s="409"/>
      <c r="CF147" s="409"/>
      <c r="CG147" s="409"/>
      <c r="CH147" s="409"/>
      <c r="CI147" s="409"/>
      <c r="CJ147" s="471">
        <v>97000</v>
      </c>
      <c r="CK147" s="471"/>
      <c r="CL147" s="471"/>
      <c r="CM147" s="471"/>
      <c r="CN147" s="471"/>
      <c r="CO147" s="471"/>
      <c r="CP147" s="471"/>
      <c r="CQ147" s="471"/>
      <c r="CR147" s="471"/>
      <c r="CS147" s="471"/>
      <c r="CT147" s="471"/>
      <c r="CU147" s="471"/>
      <c r="CV147" s="471"/>
      <c r="CW147" s="471"/>
      <c r="CX147" s="471"/>
      <c r="CY147" s="471"/>
      <c r="CZ147" s="471"/>
      <c r="DA147" s="471"/>
    </row>
    <row r="148" spans="1:105" ht="12" customHeight="1">
      <c r="A148" s="407" t="s">
        <v>325</v>
      </c>
      <c r="B148" s="407"/>
      <c r="C148" s="407"/>
      <c r="D148" s="407"/>
      <c r="E148" s="407"/>
      <c r="F148" s="407"/>
      <c r="G148" s="407"/>
      <c r="H148" s="434" t="s">
        <v>429</v>
      </c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I148" s="435"/>
      <c r="AJ148" s="435"/>
      <c r="AK148" s="435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5"/>
      <c r="BD148" s="435"/>
      <c r="BE148" s="435"/>
      <c r="BF148" s="435"/>
      <c r="BG148" s="435"/>
      <c r="BH148" s="435"/>
      <c r="BI148" s="435"/>
      <c r="BJ148" s="435"/>
      <c r="BK148" s="435"/>
      <c r="BL148" s="435"/>
      <c r="BM148" s="435"/>
      <c r="BN148" s="435"/>
      <c r="BO148" s="435"/>
      <c r="BP148" s="435"/>
      <c r="BQ148" s="435"/>
      <c r="BR148" s="435"/>
      <c r="BS148" s="436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409"/>
      <c r="CE148" s="409"/>
      <c r="CF148" s="409"/>
      <c r="CG148" s="409"/>
      <c r="CH148" s="409"/>
      <c r="CI148" s="409"/>
      <c r="CJ148" s="471">
        <v>2860000</v>
      </c>
      <c r="CK148" s="471"/>
      <c r="CL148" s="471"/>
      <c r="CM148" s="471"/>
      <c r="CN148" s="471"/>
      <c r="CO148" s="471"/>
      <c r="CP148" s="471"/>
      <c r="CQ148" s="471"/>
      <c r="CR148" s="471"/>
      <c r="CS148" s="471"/>
      <c r="CT148" s="471"/>
      <c r="CU148" s="471"/>
      <c r="CV148" s="471"/>
      <c r="CW148" s="471"/>
      <c r="CX148" s="471"/>
      <c r="CY148" s="471"/>
      <c r="CZ148" s="471"/>
      <c r="DA148" s="471"/>
    </row>
    <row r="149" spans="1:105" ht="12" customHeight="1">
      <c r="A149" s="407" t="s">
        <v>326</v>
      </c>
      <c r="B149" s="407"/>
      <c r="C149" s="407"/>
      <c r="D149" s="407"/>
      <c r="E149" s="407"/>
      <c r="F149" s="407"/>
      <c r="G149" s="407"/>
      <c r="H149" s="434" t="s">
        <v>430</v>
      </c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435"/>
      <c r="AJ149" s="435"/>
      <c r="AK149" s="435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  <c r="AW149" s="435"/>
      <c r="AX149" s="435"/>
      <c r="AY149" s="435"/>
      <c r="AZ149" s="435"/>
      <c r="BA149" s="435"/>
      <c r="BB149" s="435"/>
      <c r="BC149" s="435"/>
      <c r="BD149" s="435"/>
      <c r="BE149" s="435"/>
      <c r="BF149" s="435"/>
      <c r="BG149" s="435"/>
      <c r="BH149" s="435"/>
      <c r="BI149" s="435"/>
      <c r="BJ149" s="435"/>
      <c r="BK149" s="435"/>
      <c r="BL149" s="435"/>
      <c r="BM149" s="435"/>
      <c r="BN149" s="435"/>
      <c r="BO149" s="435"/>
      <c r="BP149" s="435"/>
      <c r="BQ149" s="435"/>
      <c r="BR149" s="435"/>
      <c r="BS149" s="436"/>
      <c r="BT149" s="409"/>
      <c r="BU149" s="409"/>
      <c r="BV149" s="409"/>
      <c r="BW149" s="409"/>
      <c r="BX149" s="409"/>
      <c r="BY149" s="409"/>
      <c r="BZ149" s="409"/>
      <c r="CA149" s="409"/>
      <c r="CB149" s="409"/>
      <c r="CC149" s="409"/>
      <c r="CD149" s="409"/>
      <c r="CE149" s="409"/>
      <c r="CF149" s="409"/>
      <c r="CG149" s="409"/>
      <c r="CH149" s="409"/>
      <c r="CI149" s="409"/>
      <c r="CJ149" s="471">
        <v>1200000</v>
      </c>
      <c r="CK149" s="471"/>
      <c r="CL149" s="471"/>
      <c r="CM149" s="471"/>
      <c r="CN149" s="471"/>
      <c r="CO149" s="471"/>
      <c r="CP149" s="471"/>
      <c r="CQ149" s="471"/>
      <c r="CR149" s="471"/>
      <c r="CS149" s="471"/>
      <c r="CT149" s="471"/>
      <c r="CU149" s="471"/>
      <c r="CV149" s="471"/>
      <c r="CW149" s="471"/>
      <c r="CX149" s="471"/>
      <c r="CY149" s="471"/>
      <c r="CZ149" s="471"/>
      <c r="DA149" s="471"/>
    </row>
    <row r="150" spans="1:105" ht="12" customHeight="1">
      <c r="A150" s="407" t="s">
        <v>327</v>
      </c>
      <c r="B150" s="407"/>
      <c r="C150" s="407"/>
      <c r="D150" s="407"/>
      <c r="E150" s="407"/>
      <c r="F150" s="407"/>
      <c r="G150" s="407"/>
      <c r="H150" s="434" t="s">
        <v>431</v>
      </c>
      <c r="I150" s="435"/>
      <c r="J150" s="435"/>
      <c r="K150" s="435"/>
      <c r="L150" s="435"/>
      <c r="M150" s="435"/>
      <c r="N150" s="435"/>
      <c r="O150" s="435"/>
      <c r="P150" s="435"/>
      <c r="Q150" s="435"/>
      <c r="R150" s="435"/>
      <c r="S150" s="435"/>
      <c r="T150" s="435"/>
      <c r="U150" s="435"/>
      <c r="V150" s="435"/>
      <c r="W150" s="435"/>
      <c r="X150" s="435"/>
      <c r="Y150" s="435"/>
      <c r="Z150" s="435"/>
      <c r="AA150" s="435"/>
      <c r="AB150" s="435"/>
      <c r="AC150" s="435"/>
      <c r="AD150" s="435"/>
      <c r="AE150" s="435"/>
      <c r="AF150" s="435"/>
      <c r="AG150" s="435"/>
      <c r="AH150" s="435"/>
      <c r="AI150" s="435"/>
      <c r="AJ150" s="435"/>
      <c r="AK150" s="435"/>
      <c r="AL150" s="435"/>
      <c r="AM150" s="435"/>
      <c r="AN150" s="435"/>
      <c r="AO150" s="435"/>
      <c r="AP150" s="435"/>
      <c r="AQ150" s="435"/>
      <c r="AR150" s="435"/>
      <c r="AS150" s="435"/>
      <c r="AT150" s="435"/>
      <c r="AU150" s="435"/>
      <c r="AV150" s="435"/>
      <c r="AW150" s="435"/>
      <c r="AX150" s="435"/>
      <c r="AY150" s="435"/>
      <c r="AZ150" s="435"/>
      <c r="BA150" s="435"/>
      <c r="BB150" s="435"/>
      <c r="BC150" s="435"/>
      <c r="BD150" s="435"/>
      <c r="BE150" s="435"/>
      <c r="BF150" s="435"/>
      <c r="BG150" s="435"/>
      <c r="BH150" s="435"/>
      <c r="BI150" s="435"/>
      <c r="BJ150" s="435"/>
      <c r="BK150" s="435"/>
      <c r="BL150" s="435"/>
      <c r="BM150" s="435"/>
      <c r="BN150" s="435"/>
      <c r="BO150" s="435"/>
      <c r="BP150" s="435"/>
      <c r="BQ150" s="435"/>
      <c r="BR150" s="435"/>
      <c r="BS150" s="436"/>
      <c r="BT150" s="409"/>
      <c r="BU150" s="409"/>
      <c r="BV150" s="409"/>
      <c r="BW150" s="409"/>
      <c r="BX150" s="409"/>
      <c r="BY150" s="409"/>
      <c r="BZ150" s="409"/>
      <c r="CA150" s="409"/>
      <c r="CB150" s="409"/>
      <c r="CC150" s="409"/>
      <c r="CD150" s="409"/>
      <c r="CE150" s="409"/>
      <c r="CF150" s="409"/>
      <c r="CG150" s="409"/>
      <c r="CH150" s="409"/>
      <c r="CI150" s="409"/>
      <c r="CJ150" s="471">
        <v>500000</v>
      </c>
      <c r="CK150" s="471"/>
      <c r="CL150" s="471"/>
      <c r="CM150" s="471"/>
      <c r="CN150" s="471"/>
      <c r="CO150" s="471"/>
      <c r="CP150" s="471"/>
      <c r="CQ150" s="471"/>
      <c r="CR150" s="471"/>
      <c r="CS150" s="471"/>
      <c r="CT150" s="471"/>
      <c r="CU150" s="471"/>
      <c r="CV150" s="471"/>
      <c r="CW150" s="471"/>
      <c r="CX150" s="471"/>
      <c r="CY150" s="471"/>
      <c r="CZ150" s="471"/>
      <c r="DA150" s="471"/>
    </row>
    <row r="151" spans="1:105" ht="12" customHeight="1">
      <c r="A151" s="407" t="s">
        <v>328</v>
      </c>
      <c r="B151" s="407"/>
      <c r="C151" s="407"/>
      <c r="D151" s="407"/>
      <c r="E151" s="407"/>
      <c r="F151" s="407"/>
      <c r="G151" s="407"/>
      <c r="H151" s="434" t="s">
        <v>432</v>
      </c>
      <c r="I151" s="435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  <c r="AB151" s="435"/>
      <c r="AC151" s="435"/>
      <c r="AD151" s="435"/>
      <c r="AE151" s="435"/>
      <c r="AF151" s="435"/>
      <c r="AG151" s="435"/>
      <c r="AH151" s="435"/>
      <c r="AI151" s="435"/>
      <c r="AJ151" s="435"/>
      <c r="AK151" s="435"/>
      <c r="AL151" s="435"/>
      <c r="AM151" s="435"/>
      <c r="AN151" s="435"/>
      <c r="AO151" s="435"/>
      <c r="AP151" s="435"/>
      <c r="AQ151" s="435"/>
      <c r="AR151" s="435"/>
      <c r="AS151" s="435"/>
      <c r="AT151" s="435"/>
      <c r="AU151" s="435"/>
      <c r="AV151" s="435"/>
      <c r="AW151" s="435"/>
      <c r="AX151" s="435"/>
      <c r="AY151" s="435"/>
      <c r="AZ151" s="435"/>
      <c r="BA151" s="435"/>
      <c r="BB151" s="435"/>
      <c r="BC151" s="435"/>
      <c r="BD151" s="435"/>
      <c r="BE151" s="435"/>
      <c r="BF151" s="435"/>
      <c r="BG151" s="435"/>
      <c r="BH151" s="435"/>
      <c r="BI151" s="435"/>
      <c r="BJ151" s="435"/>
      <c r="BK151" s="435"/>
      <c r="BL151" s="435"/>
      <c r="BM151" s="435"/>
      <c r="BN151" s="435"/>
      <c r="BO151" s="435"/>
      <c r="BP151" s="435"/>
      <c r="BQ151" s="435"/>
      <c r="BR151" s="435"/>
      <c r="BS151" s="436"/>
      <c r="BT151" s="409"/>
      <c r="BU151" s="409"/>
      <c r="BV151" s="409"/>
      <c r="BW151" s="409"/>
      <c r="BX151" s="409"/>
      <c r="BY151" s="409"/>
      <c r="BZ151" s="409"/>
      <c r="CA151" s="409"/>
      <c r="CB151" s="409"/>
      <c r="CC151" s="409"/>
      <c r="CD151" s="409"/>
      <c r="CE151" s="409"/>
      <c r="CF151" s="409"/>
      <c r="CG151" s="409"/>
      <c r="CH151" s="409"/>
      <c r="CI151" s="409"/>
      <c r="CJ151" s="471">
        <v>300000</v>
      </c>
      <c r="CK151" s="471"/>
      <c r="CL151" s="471"/>
      <c r="CM151" s="471"/>
      <c r="CN151" s="471"/>
      <c r="CO151" s="471"/>
      <c r="CP151" s="471"/>
      <c r="CQ151" s="471"/>
      <c r="CR151" s="471"/>
      <c r="CS151" s="471"/>
      <c r="CT151" s="471"/>
      <c r="CU151" s="471"/>
      <c r="CV151" s="471"/>
      <c r="CW151" s="471"/>
      <c r="CX151" s="471"/>
      <c r="CY151" s="471"/>
      <c r="CZ151" s="471"/>
      <c r="DA151" s="471"/>
    </row>
    <row r="152" spans="1:105" ht="12" customHeight="1">
      <c r="A152" s="407" t="s">
        <v>329</v>
      </c>
      <c r="B152" s="407"/>
      <c r="C152" s="407"/>
      <c r="D152" s="407"/>
      <c r="E152" s="407"/>
      <c r="F152" s="407"/>
      <c r="G152" s="407"/>
      <c r="H152" s="434" t="s">
        <v>433</v>
      </c>
      <c r="I152" s="435"/>
      <c r="J152" s="435"/>
      <c r="K152" s="435"/>
      <c r="L152" s="435"/>
      <c r="M152" s="435"/>
      <c r="N152" s="435"/>
      <c r="O152" s="435"/>
      <c r="P152" s="435"/>
      <c r="Q152" s="435"/>
      <c r="R152" s="435"/>
      <c r="S152" s="435"/>
      <c r="T152" s="435"/>
      <c r="U152" s="435"/>
      <c r="V152" s="435"/>
      <c r="W152" s="435"/>
      <c r="X152" s="435"/>
      <c r="Y152" s="435"/>
      <c r="Z152" s="435"/>
      <c r="AA152" s="435"/>
      <c r="AB152" s="435"/>
      <c r="AC152" s="435"/>
      <c r="AD152" s="435"/>
      <c r="AE152" s="435"/>
      <c r="AF152" s="435"/>
      <c r="AG152" s="435"/>
      <c r="AH152" s="435"/>
      <c r="AI152" s="435"/>
      <c r="AJ152" s="435"/>
      <c r="AK152" s="435"/>
      <c r="AL152" s="435"/>
      <c r="AM152" s="435"/>
      <c r="AN152" s="435"/>
      <c r="AO152" s="435"/>
      <c r="AP152" s="435"/>
      <c r="AQ152" s="435"/>
      <c r="AR152" s="435"/>
      <c r="AS152" s="435"/>
      <c r="AT152" s="435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5"/>
      <c r="BK152" s="435"/>
      <c r="BL152" s="435"/>
      <c r="BM152" s="435"/>
      <c r="BN152" s="435"/>
      <c r="BO152" s="435"/>
      <c r="BP152" s="435"/>
      <c r="BQ152" s="435"/>
      <c r="BR152" s="435"/>
      <c r="BS152" s="436"/>
      <c r="BT152" s="409"/>
      <c r="BU152" s="409"/>
      <c r="BV152" s="409"/>
      <c r="BW152" s="409"/>
      <c r="BX152" s="409"/>
      <c r="BY152" s="409"/>
      <c r="BZ152" s="409"/>
      <c r="CA152" s="409"/>
      <c r="CB152" s="409"/>
      <c r="CC152" s="409"/>
      <c r="CD152" s="409"/>
      <c r="CE152" s="409"/>
      <c r="CF152" s="409"/>
      <c r="CG152" s="409"/>
      <c r="CH152" s="409"/>
      <c r="CI152" s="409"/>
      <c r="CJ152" s="471">
        <v>300000</v>
      </c>
      <c r="CK152" s="471"/>
      <c r="CL152" s="471"/>
      <c r="CM152" s="471"/>
      <c r="CN152" s="471"/>
      <c r="CO152" s="471"/>
      <c r="CP152" s="471"/>
      <c r="CQ152" s="471"/>
      <c r="CR152" s="471"/>
      <c r="CS152" s="471"/>
      <c r="CT152" s="471"/>
      <c r="CU152" s="471"/>
      <c r="CV152" s="471"/>
      <c r="CW152" s="471"/>
      <c r="CX152" s="471"/>
      <c r="CY152" s="471"/>
      <c r="CZ152" s="471"/>
      <c r="DA152" s="471"/>
    </row>
    <row r="153" spans="1:105" ht="12" customHeight="1">
      <c r="A153" s="407" t="s">
        <v>330</v>
      </c>
      <c r="B153" s="407"/>
      <c r="C153" s="407"/>
      <c r="D153" s="407"/>
      <c r="E153" s="407"/>
      <c r="F153" s="407"/>
      <c r="G153" s="407"/>
      <c r="H153" s="434" t="s">
        <v>434</v>
      </c>
      <c r="I153" s="435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5"/>
      <c r="AD153" s="435"/>
      <c r="AE153" s="435"/>
      <c r="AF153" s="435"/>
      <c r="AG153" s="435"/>
      <c r="AH153" s="435"/>
      <c r="AI153" s="435"/>
      <c r="AJ153" s="435"/>
      <c r="AK153" s="435"/>
      <c r="AL153" s="435"/>
      <c r="AM153" s="435"/>
      <c r="AN153" s="435"/>
      <c r="AO153" s="435"/>
      <c r="AP153" s="435"/>
      <c r="AQ153" s="435"/>
      <c r="AR153" s="435"/>
      <c r="AS153" s="435"/>
      <c r="AT153" s="435"/>
      <c r="AU153" s="435"/>
      <c r="AV153" s="435"/>
      <c r="AW153" s="435"/>
      <c r="AX153" s="435"/>
      <c r="AY153" s="435"/>
      <c r="AZ153" s="435"/>
      <c r="BA153" s="435"/>
      <c r="BB153" s="435"/>
      <c r="BC153" s="435"/>
      <c r="BD153" s="435"/>
      <c r="BE153" s="435"/>
      <c r="BF153" s="435"/>
      <c r="BG153" s="435"/>
      <c r="BH153" s="435"/>
      <c r="BI153" s="435"/>
      <c r="BJ153" s="435"/>
      <c r="BK153" s="435"/>
      <c r="BL153" s="435"/>
      <c r="BM153" s="435"/>
      <c r="BN153" s="435"/>
      <c r="BO153" s="435"/>
      <c r="BP153" s="435"/>
      <c r="BQ153" s="435"/>
      <c r="BR153" s="435"/>
      <c r="BS153" s="436"/>
      <c r="BT153" s="409"/>
      <c r="BU153" s="409"/>
      <c r="BV153" s="409"/>
      <c r="BW153" s="409"/>
      <c r="BX153" s="409"/>
      <c r="BY153" s="409"/>
      <c r="BZ153" s="409"/>
      <c r="CA153" s="409"/>
      <c r="CB153" s="409"/>
      <c r="CC153" s="409"/>
      <c r="CD153" s="409"/>
      <c r="CE153" s="409"/>
      <c r="CF153" s="409"/>
      <c r="CG153" s="409"/>
      <c r="CH153" s="409"/>
      <c r="CI153" s="409"/>
      <c r="CJ153" s="501">
        <v>400000</v>
      </c>
      <c r="CK153" s="501"/>
      <c r="CL153" s="501"/>
      <c r="CM153" s="501"/>
      <c r="CN153" s="501"/>
      <c r="CO153" s="501"/>
      <c r="CP153" s="501"/>
      <c r="CQ153" s="501"/>
      <c r="CR153" s="501"/>
      <c r="CS153" s="501"/>
      <c r="CT153" s="501"/>
      <c r="CU153" s="501"/>
      <c r="CV153" s="501"/>
      <c r="CW153" s="501"/>
      <c r="CX153" s="501"/>
      <c r="CY153" s="501"/>
      <c r="CZ153" s="501"/>
      <c r="DA153" s="501"/>
    </row>
    <row r="154" spans="1:105" ht="12" customHeight="1">
      <c r="A154" s="407" t="s">
        <v>331</v>
      </c>
      <c r="B154" s="407"/>
      <c r="C154" s="407"/>
      <c r="D154" s="407"/>
      <c r="E154" s="407"/>
      <c r="F154" s="407"/>
      <c r="G154" s="407"/>
      <c r="H154" s="434" t="s">
        <v>435</v>
      </c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435"/>
      <c r="BK154" s="435"/>
      <c r="BL154" s="435"/>
      <c r="BM154" s="435"/>
      <c r="BN154" s="435"/>
      <c r="BO154" s="435"/>
      <c r="BP154" s="435"/>
      <c r="BQ154" s="435"/>
      <c r="BR154" s="435"/>
      <c r="BS154" s="436"/>
      <c r="BT154" s="409"/>
      <c r="BU154" s="409"/>
      <c r="BV154" s="409"/>
      <c r="BW154" s="409"/>
      <c r="BX154" s="409"/>
      <c r="BY154" s="409"/>
      <c r="BZ154" s="409"/>
      <c r="CA154" s="409"/>
      <c r="CB154" s="409"/>
      <c r="CC154" s="409"/>
      <c r="CD154" s="409"/>
      <c r="CE154" s="409"/>
      <c r="CF154" s="409"/>
      <c r="CG154" s="409"/>
      <c r="CH154" s="409"/>
      <c r="CI154" s="409"/>
      <c r="CJ154" s="471">
        <v>47000</v>
      </c>
      <c r="CK154" s="471"/>
      <c r="CL154" s="471"/>
      <c r="CM154" s="471"/>
      <c r="CN154" s="471"/>
      <c r="CO154" s="471"/>
      <c r="CP154" s="471"/>
      <c r="CQ154" s="471"/>
      <c r="CR154" s="471"/>
      <c r="CS154" s="471"/>
      <c r="CT154" s="471"/>
      <c r="CU154" s="471"/>
      <c r="CV154" s="471"/>
      <c r="CW154" s="471"/>
      <c r="CX154" s="471"/>
      <c r="CY154" s="471"/>
      <c r="CZ154" s="471"/>
      <c r="DA154" s="471"/>
    </row>
    <row r="155" spans="1:105" ht="12" customHeight="1">
      <c r="A155" s="407" t="s">
        <v>332</v>
      </c>
      <c r="B155" s="407"/>
      <c r="C155" s="407"/>
      <c r="D155" s="407"/>
      <c r="E155" s="407"/>
      <c r="F155" s="407"/>
      <c r="G155" s="407"/>
      <c r="H155" s="434" t="s">
        <v>436</v>
      </c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  <c r="AA155" s="435"/>
      <c r="AB155" s="435"/>
      <c r="AC155" s="435"/>
      <c r="AD155" s="435"/>
      <c r="AE155" s="435"/>
      <c r="AF155" s="435"/>
      <c r="AG155" s="435"/>
      <c r="AH155" s="435"/>
      <c r="AI155" s="435"/>
      <c r="AJ155" s="435"/>
      <c r="AK155" s="435"/>
      <c r="AL155" s="435"/>
      <c r="AM155" s="435"/>
      <c r="AN155" s="435"/>
      <c r="AO155" s="435"/>
      <c r="AP155" s="435"/>
      <c r="AQ155" s="435"/>
      <c r="AR155" s="435"/>
      <c r="AS155" s="435"/>
      <c r="AT155" s="435"/>
      <c r="AU155" s="435"/>
      <c r="AV155" s="435"/>
      <c r="AW155" s="435"/>
      <c r="AX155" s="435"/>
      <c r="AY155" s="435"/>
      <c r="AZ155" s="435"/>
      <c r="BA155" s="435"/>
      <c r="BB155" s="435"/>
      <c r="BC155" s="435"/>
      <c r="BD155" s="435"/>
      <c r="BE155" s="435"/>
      <c r="BF155" s="435"/>
      <c r="BG155" s="435"/>
      <c r="BH155" s="435"/>
      <c r="BI155" s="435"/>
      <c r="BJ155" s="435"/>
      <c r="BK155" s="435"/>
      <c r="BL155" s="435"/>
      <c r="BM155" s="435"/>
      <c r="BN155" s="435"/>
      <c r="BO155" s="435"/>
      <c r="BP155" s="435"/>
      <c r="BQ155" s="435"/>
      <c r="BR155" s="435"/>
      <c r="BS155" s="436"/>
      <c r="BT155" s="409"/>
      <c r="BU155" s="409"/>
      <c r="BV155" s="409"/>
      <c r="BW155" s="409"/>
      <c r="BX155" s="409"/>
      <c r="BY155" s="409"/>
      <c r="BZ155" s="409"/>
      <c r="CA155" s="409"/>
      <c r="CB155" s="409"/>
      <c r="CC155" s="409"/>
      <c r="CD155" s="409"/>
      <c r="CE155" s="409"/>
      <c r="CF155" s="409"/>
      <c r="CG155" s="409"/>
      <c r="CH155" s="409"/>
      <c r="CI155" s="409"/>
      <c r="CJ155" s="471">
        <v>50000</v>
      </c>
      <c r="CK155" s="471"/>
      <c r="CL155" s="471"/>
      <c r="CM155" s="471"/>
      <c r="CN155" s="471"/>
      <c r="CO155" s="471"/>
      <c r="CP155" s="471"/>
      <c r="CQ155" s="471"/>
      <c r="CR155" s="471"/>
      <c r="CS155" s="471"/>
      <c r="CT155" s="471"/>
      <c r="CU155" s="471"/>
      <c r="CV155" s="471"/>
      <c r="CW155" s="471"/>
      <c r="CX155" s="471"/>
      <c r="CY155" s="471"/>
      <c r="CZ155" s="471"/>
      <c r="DA155" s="471"/>
    </row>
    <row r="156" spans="1:105" ht="12" customHeight="1">
      <c r="A156" s="407" t="s">
        <v>104</v>
      </c>
      <c r="B156" s="407"/>
      <c r="C156" s="407"/>
      <c r="D156" s="407"/>
      <c r="E156" s="407"/>
      <c r="F156" s="407"/>
      <c r="G156" s="407"/>
      <c r="H156" s="434" t="s">
        <v>437</v>
      </c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5"/>
      <c r="AP156" s="435"/>
      <c r="AQ156" s="435"/>
      <c r="AR156" s="435"/>
      <c r="AS156" s="435"/>
      <c r="AT156" s="435"/>
      <c r="AU156" s="435"/>
      <c r="AV156" s="435"/>
      <c r="AW156" s="435"/>
      <c r="AX156" s="435"/>
      <c r="AY156" s="435"/>
      <c r="AZ156" s="435"/>
      <c r="BA156" s="435"/>
      <c r="BB156" s="435"/>
      <c r="BC156" s="435"/>
      <c r="BD156" s="435"/>
      <c r="BE156" s="435"/>
      <c r="BF156" s="435"/>
      <c r="BG156" s="435"/>
      <c r="BH156" s="435"/>
      <c r="BI156" s="435"/>
      <c r="BJ156" s="435"/>
      <c r="BK156" s="435"/>
      <c r="BL156" s="435"/>
      <c r="BM156" s="435"/>
      <c r="BN156" s="435"/>
      <c r="BO156" s="435"/>
      <c r="BP156" s="435"/>
      <c r="BQ156" s="435"/>
      <c r="BR156" s="435"/>
      <c r="BS156" s="436"/>
      <c r="BT156" s="409"/>
      <c r="BU156" s="409"/>
      <c r="BV156" s="409"/>
      <c r="BW156" s="409"/>
      <c r="BX156" s="409"/>
      <c r="BY156" s="409"/>
      <c r="BZ156" s="409"/>
      <c r="CA156" s="409"/>
      <c r="CB156" s="409"/>
      <c r="CC156" s="409"/>
      <c r="CD156" s="409"/>
      <c r="CE156" s="409"/>
      <c r="CF156" s="409"/>
      <c r="CG156" s="409"/>
      <c r="CH156" s="409"/>
      <c r="CI156" s="409"/>
      <c r="CJ156" s="471">
        <v>50000</v>
      </c>
      <c r="CK156" s="471"/>
      <c r="CL156" s="471"/>
      <c r="CM156" s="471"/>
      <c r="CN156" s="471"/>
      <c r="CO156" s="471"/>
      <c r="CP156" s="471"/>
      <c r="CQ156" s="471"/>
      <c r="CR156" s="471"/>
      <c r="CS156" s="471"/>
      <c r="CT156" s="471"/>
      <c r="CU156" s="471"/>
      <c r="CV156" s="471"/>
      <c r="CW156" s="471"/>
      <c r="CX156" s="471"/>
      <c r="CY156" s="471"/>
      <c r="CZ156" s="471"/>
      <c r="DA156" s="471"/>
    </row>
    <row r="157" spans="1:105" ht="12" customHeight="1">
      <c r="A157" s="407" t="s">
        <v>105</v>
      </c>
      <c r="B157" s="407"/>
      <c r="C157" s="407"/>
      <c r="D157" s="407"/>
      <c r="E157" s="407"/>
      <c r="F157" s="407"/>
      <c r="G157" s="407"/>
      <c r="H157" s="434" t="s">
        <v>438</v>
      </c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435"/>
      <c r="AP157" s="435"/>
      <c r="AQ157" s="435"/>
      <c r="AR157" s="435"/>
      <c r="AS157" s="435"/>
      <c r="AT157" s="435"/>
      <c r="AU157" s="435"/>
      <c r="AV157" s="435"/>
      <c r="AW157" s="435"/>
      <c r="AX157" s="435"/>
      <c r="AY157" s="435"/>
      <c r="AZ157" s="435"/>
      <c r="BA157" s="435"/>
      <c r="BB157" s="435"/>
      <c r="BC157" s="435"/>
      <c r="BD157" s="435"/>
      <c r="BE157" s="435"/>
      <c r="BF157" s="435"/>
      <c r="BG157" s="435"/>
      <c r="BH157" s="435"/>
      <c r="BI157" s="435"/>
      <c r="BJ157" s="435"/>
      <c r="BK157" s="435"/>
      <c r="BL157" s="435"/>
      <c r="BM157" s="435"/>
      <c r="BN157" s="435"/>
      <c r="BO157" s="435"/>
      <c r="BP157" s="435"/>
      <c r="BQ157" s="435"/>
      <c r="BR157" s="435"/>
      <c r="BS157" s="436"/>
      <c r="BT157" s="409"/>
      <c r="BU157" s="409"/>
      <c r="BV157" s="409"/>
      <c r="BW157" s="409"/>
      <c r="BX157" s="409"/>
      <c r="BY157" s="409"/>
      <c r="BZ157" s="409"/>
      <c r="CA157" s="409"/>
      <c r="CB157" s="409"/>
      <c r="CC157" s="409"/>
      <c r="CD157" s="409"/>
      <c r="CE157" s="409"/>
      <c r="CF157" s="409"/>
      <c r="CG157" s="409"/>
      <c r="CH157" s="409"/>
      <c r="CI157" s="409"/>
      <c r="CJ157" s="471">
        <v>150000</v>
      </c>
      <c r="CK157" s="471"/>
      <c r="CL157" s="471"/>
      <c r="CM157" s="471"/>
      <c r="CN157" s="471"/>
      <c r="CO157" s="471"/>
      <c r="CP157" s="471"/>
      <c r="CQ157" s="471"/>
      <c r="CR157" s="471"/>
      <c r="CS157" s="471"/>
      <c r="CT157" s="471"/>
      <c r="CU157" s="471"/>
      <c r="CV157" s="471"/>
      <c r="CW157" s="471"/>
      <c r="CX157" s="471"/>
      <c r="CY157" s="471"/>
      <c r="CZ157" s="471"/>
      <c r="DA157" s="471"/>
    </row>
    <row r="158" spans="1:105" ht="12" customHeight="1">
      <c r="A158" s="407" t="s">
        <v>129</v>
      </c>
      <c r="B158" s="407"/>
      <c r="C158" s="407"/>
      <c r="D158" s="407"/>
      <c r="E158" s="407"/>
      <c r="F158" s="407"/>
      <c r="G158" s="407"/>
      <c r="H158" s="434" t="s">
        <v>439</v>
      </c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  <c r="AA158" s="435"/>
      <c r="AB158" s="435"/>
      <c r="AC158" s="435"/>
      <c r="AD158" s="435"/>
      <c r="AE158" s="435"/>
      <c r="AF158" s="435"/>
      <c r="AG158" s="435"/>
      <c r="AH158" s="435"/>
      <c r="AI158" s="435"/>
      <c r="AJ158" s="435"/>
      <c r="AK158" s="435"/>
      <c r="AL158" s="435"/>
      <c r="AM158" s="435"/>
      <c r="AN158" s="435"/>
      <c r="AO158" s="435"/>
      <c r="AP158" s="435"/>
      <c r="AQ158" s="435"/>
      <c r="AR158" s="435"/>
      <c r="AS158" s="435"/>
      <c r="AT158" s="435"/>
      <c r="AU158" s="435"/>
      <c r="AV158" s="435"/>
      <c r="AW158" s="435"/>
      <c r="AX158" s="435"/>
      <c r="AY158" s="435"/>
      <c r="AZ158" s="435"/>
      <c r="BA158" s="435"/>
      <c r="BB158" s="435"/>
      <c r="BC158" s="435"/>
      <c r="BD158" s="435"/>
      <c r="BE158" s="435"/>
      <c r="BF158" s="435"/>
      <c r="BG158" s="435"/>
      <c r="BH158" s="435"/>
      <c r="BI158" s="435"/>
      <c r="BJ158" s="435"/>
      <c r="BK158" s="435"/>
      <c r="BL158" s="435"/>
      <c r="BM158" s="435"/>
      <c r="BN158" s="435"/>
      <c r="BO158" s="435"/>
      <c r="BP158" s="435"/>
      <c r="BQ158" s="435"/>
      <c r="BR158" s="435"/>
      <c r="BS158" s="436"/>
      <c r="BT158" s="409"/>
      <c r="BU158" s="409"/>
      <c r="BV158" s="409"/>
      <c r="BW158" s="409"/>
      <c r="BX158" s="409"/>
      <c r="BY158" s="409"/>
      <c r="BZ158" s="409"/>
      <c r="CA158" s="409"/>
      <c r="CB158" s="409"/>
      <c r="CC158" s="409"/>
      <c r="CD158" s="409"/>
      <c r="CE158" s="409"/>
      <c r="CF158" s="409"/>
      <c r="CG158" s="409"/>
      <c r="CH158" s="409"/>
      <c r="CI158" s="409"/>
      <c r="CJ158" s="471">
        <v>2500000</v>
      </c>
      <c r="CK158" s="471"/>
      <c r="CL158" s="471"/>
      <c r="CM158" s="471"/>
      <c r="CN158" s="471"/>
      <c r="CO158" s="471"/>
      <c r="CP158" s="471"/>
      <c r="CQ158" s="471"/>
      <c r="CR158" s="471"/>
      <c r="CS158" s="471"/>
      <c r="CT158" s="471"/>
      <c r="CU158" s="471"/>
      <c r="CV158" s="471"/>
      <c r="CW158" s="471"/>
      <c r="CX158" s="471"/>
      <c r="CY158" s="471"/>
      <c r="CZ158" s="471"/>
      <c r="DA158" s="471"/>
    </row>
    <row r="159" spans="1:105" ht="12" customHeight="1">
      <c r="A159" s="407" t="s">
        <v>440</v>
      </c>
      <c r="B159" s="407"/>
      <c r="C159" s="407"/>
      <c r="D159" s="407"/>
      <c r="E159" s="407"/>
      <c r="F159" s="407"/>
      <c r="G159" s="407"/>
      <c r="H159" s="434" t="s">
        <v>441</v>
      </c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  <c r="AA159" s="435"/>
      <c r="AB159" s="435"/>
      <c r="AC159" s="435"/>
      <c r="AD159" s="435"/>
      <c r="AE159" s="435"/>
      <c r="AF159" s="435"/>
      <c r="AG159" s="435"/>
      <c r="AH159" s="435"/>
      <c r="AI159" s="435"/>
      <c r="AJ159" s="435"/>
      <c r="AK159" s="435"/>
      <c r="AL159" s="435"/>
      <c r="AM159" s="435"/>
      <c r="AN159" s="435"/>
      <c r="AO159" s="435"/>
      <c r="AP159" s="435"/>
      <c r="AQ159" s="435"/>
      <c r="AR159" s="435"/>
      <c r="AS159" s="435"/>
      <c r="AT159" s="435"/>
      <c r="AU159" s="435"/>
      <c r="AV159" s="435"/>
      <c r="AW159" s="435"/>
      <c r="AX159" s="435"/>
      <c r="AY159" s="435"/>
      <c r="AZ159" s="435"/>
      <c r="BA159" s="435"/>
      <c r="BB159" s="435"/>
      <c r="BC159" s="435"/>
      <c r="BD159" s="435"/>
      <c r="BE159" s="435"/>
      <c r="BF159" s="435"/>
      <c r="BG159" s="435"/>
      <c r="BH159" s="435"/>
      <c r="BI159" s="435"/>
      <c r="BJ159" s="435"/>
      <c r="BK159" s="435"/>
      <c r="BL159" s="435"/>
      <c r="BM159" s="435"/>
      <c r="BN159" s="435"/>
      <c r="BO159" s="435"/>
      <c r="BP159" s="435"/>
      <c r="BQ159" s="435"/>
      <c r="BR159" s="435"/>
      <c r="BS159" s="436"/>
      <c r="BT159" s="409"/>
      <c r="BU159" s="409"/>
      <c r="BV159" s="409"/>
      <c r="BW159" s="409"/>
      <c r="BX159" s="409"/>
      <c r="BY159" s="409"/>
      <c r="BZ159" s="409"/>
      <c r="CA159" s="409"/>
      <c r="CB159" s="409"/>
      <c r="CC159" s="409"/>
      <c r="CD159" s="409"/>
      <c r="CE159" s="409"/>
      <c r="CF159" s="409"/>
      <c r="CG159" s="409"/>
      <c r="CH159" s="409"/>
      <c r="CI159" s="409"/>
      <c r="CJ159" s="471">
        <v>100000</v>
      </c>
      <c r="CK159" s="471"/>
      <c r="CL159" s="471"/>
      <c r="CM159" s="471"/>
      <c r="CN159" s="471"/>
      <c r="CO159" s="471"/>
      <c r="CP159" s="471"/>
      <c r="CQ159" s="471"/>
      <c r="CR159" s="471"/>
      <c r="CS159" s="471"/>
      <c r="CT159" s="471"/>
      <c r="CU159" s="471"/>
      <c r="CV159" s="471"/>
      <c r="CW159" s="471"/>
      <c r="CX159" s="471"/>
      <c r="CY159" s="471"/>
      <c r="CZ159" s="471"/>
      <c r="DA159" s="471"/>
    </row>
    <row r="160" spans="1:105" ht="12" customHeight="1">
      <c r="A160" s="407" t="s">
        <v>442</v>
      </c>
      <c r="B160" s="407"/>
      <c r="C160" s="407"/>
      <c r="D160" s="407"/>
      <c r="E160" s="407"/>
      <c r="F160" s="407"/>
      <c r="G160" s="407"/>
      <c r="H160" s="434" t="s">
        <v>443</v>
      </c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5"/>
      <c r="AO160" s="435"/>
      <c r="AP160" s="435"/>
      <c r="AQ160" s="435"/>
      <c r="AR160" s="435"/>
      <c r="AS160" s="435"/>
      <c r="AT160" s="435"/>
      <c r="AU160" s="435"/>
      <c r="AV160" s="435"/>
      <c r="AW160" s="435"/>
      <c r="AX160" s="435"/>
      <c r="AY160" s="435"/>
      <c r="AZ160" s="435"/>
      <c r="BA160" s="435"/>
      <c r="BB160" s="435"/>
      <c r="BC160" s="435"/>
      <c r="BD160" s="435"/>
      <c r="BE160" s="435"/>
      <c r="BF160" s="435"/>
      <c r="BG160" s="435"/>
      <c r="BH160" s="435"/>
      <c r="BI160" s="435"/>
      <c r="BJ160" s="435"/>
      <c r="BK160" s="435"/>
      <c r="BL160" s="435"/>
      <c r="BM160" s="435"/>
      <c r="BN160" s="435"/>
      <c r="BO160" s="435"/>
      <c r="BP160" s="435"/>
      <c r="BQ160" s="435"/>
      <c r="BR160" s="435"/>
      <c r="BS160" s="436"/>
      <c r="BT160" s="409"/>
      <c r="BU160" s="409"/>
      <c r="BV160" s="409"/>
      <c r="BW160" s="409"/>
      <c r="BX160" s="409"/>
      <c r="BY160" s="409"/>
      <c r="BZ160" s="409"/>
      <c r="CA160" s="409"/>
      <c r="CB160" s="409"/>
      <c r="CC160" s="409"/>
      <c r="CD160" s="409"/>
      <c r="CE160" s="409"/>
      <c r="CF160" s="409"/>
      <c r="CG160" s="409"/>
      <c r="CH160" s="409"/>
      <c r="CI160" s="409"/>
      <c r="CJ160" s="471">
        <v>52000</v>
      </c>
      <c r="CK160" s="471"/>
      <c r="CL160" s="471"/>
      <c r="CM160" s="471"/>
      <c r="CN160" s="471"/>
      <c r="CO160" s="471"/>
      <c r="CP160" s="471"/>
      <c r="CQ160" s="471"/>
      <c r="CR160" s="471"/>
      <c r="CS160" s="471"/>
      <c r="CT160" s="471"/>
      <c r="CU160" s="471"/>
      <c r="CV160" s="471"/>
      <c r="CW160" s="471"/>
      <c r="CX160" s="471"/>
      <c r="CY160" s="471"/>
      <c r="CZ160" s="471"/>
      <c r="DA160" s="471"/>
    </row>
    <row r="161" spans="1:105" ht="12" customHeight="1">
      <c r="A161" s="407" t="s">
        <v>444</v>
      </c>
      <c r="B161" s="407"/>
      <c r="C161" s="407"/>
      <c r="D161" s="407"/>
      <c r="E161" s="407"/>
      <c r="F161" s="407"/>
      <c r="G161" s="407"/>
      <c r="H161" s="434" t="s">
        <v>445</v>
      </c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AO161" s="435"/>
      <c r="AP161" s="435"/>
      <c r="AQ161" s="435"/>
      <c r="AR161" s="435"/>
      <c r="AS161" s="435"/>
      <c r="AT161" s="435"/>
      <c r="AU161" s="435"/>
      <c r="AV161" s="435"/>
      <c r="AW161" s="435"/>
      <c r="AX161" s="435"/>
      <c r="AY161" s="435"/>
      <c r="AZ161" s="435"/>
      <c r="BA161" s="435"/>
      <c r="BB161" s="435"/>
      <c r="BC161" s="435"/>
      <c r="BD161" s="435"/>
      <c r="BE161" s="435"/>
      <c r="BF161" s="435"/>
      <c r="BG161" s="435"/>
      <c r="BH161" s="435"/>
      <c r="BI161" s="435"/>
      <c r="BJ161" s="435"/>
      <c r="BK161" s="435"/>
      <c r="BL161" s="435"/>
      <c r="BM161" s="435"/>
      <c r="BN161" s="435"/>
      <c r="BO161" s="435"/>
      <c r="BP161" s="435"/>
      <c r="BQ161" s="435"/>
      <c r="BR161" s="435"/>
      <c r="BS161" s="436"/>
      <c r="BT161" s="409"/>
      <c r="BU161" s="409"/>
      <c r="BV161" s="409"/>
      <c r="BW161" s="409"/>
      <c r="BX161" s="409"/>
      <c r="BY161" s="409"/>
      <c r="BZ161" s="409"/>
      <c r="CA161" s="409"/>
      <c r="CB161" s="409"/>
      <c r="CC161" s="409"/>
      <c r="CD161" s="409"/>
      <c r="CE161" s="409"/>
      <c r="CF161" s="409"/>
      <c r="CG161" s="409"/>
      <c r="CH161" s="409"/>
      <c r="CI161" s="409"/>
      <c r="CJ161" s="471">
        <v>1893000</v>
      </c>
      <c r="CK161" s="471"/>
      <c r="CL161" s="471"/>
      <c r="CM161" s="471"/>
      <c r="CN161" s="471"/>
      <c r="CO161" s="471"/>
      <c r="CP161" s="471"/>
      <c r="CQ161" s="471"/>
      <c r="CR161" s="471"/>
      <c r="CS161" s="471"/>
      <c r="CT161" s="471"/>
      <c r="CU161" s="471"/>
      <c r="CV161" s="471"/>
      <c r="CW161" s="471"/>
      <c r="CX161" s="471"/>
      <c r="CY161" s="471"/>
      <c r="CZ161" s="471"/>
      <c r="DA161" s="471"/>
    </row>
    <row r="162" spans="1:105" ht="12" customHeight="1">
      <c r="A162" s="407" t="s">
        <v>446</v>
      </c>
      <c r="B162" s="407"/>
      <c r="C162" s="407"/>
      <c r="D162" s="407"/>
      <c r="E162" s="407"/>
      <c r="F162" s="407"/>
      <c r="G162" s="407"/>
      <c r="H162" s="434" t="s">
        <v>447</v>
      </c>
      <c r="I162" s="43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35"/>
      <c r="U162" s="435"/>
      <c r="V162" s="435"/>
      <c r="W162" s="435"/>
      <c r="X162" s="435"/>
      <c r="Y162" s="435"/>
      <c r="Z162" s="435"/>
      <c r="AA162" s="435"/>
      <c r="AB162" s="435"/>
      <c r="AC162" s="435"/>
      <c r="AD162" s="435"/>
      <c r="AE162" s="435"/>
      <c r="AF162" s="435"/>
      <c r="AG162" s="435"/>
      <c r="AH162" s="435"/>
      <c r="AI162" s="435"/>
      <c r="AJ162" s="435"/>
      <c r="AK162" s="435"/>
      <c r="AL162" s="435"/>
      <c r="AM162" s="435"/>
      <c r="AN162" s="435"/>
      <c r="AO162" s="435"/>
      <c r="AP162" s="435"/>
      <c r="AQ162" s="435"/>
      <c r="AR162" s="435"/>
      <c r="AS162" s="435"/>
      <c r="AT162" s="435"/>
      <c r="AU162" s="435"/>
      <c r="AV162" s="435"/>
      <c r="AW162" s="435"/>
      <c r="AX162" s="435"/>
      <c r="AY162" s="435"/>
      <c r="AZ162" s="435"/>
      <c r="BA162" s="435"/>
      <c r="BB162" s="435"/>
      <c r="BC162" s="435"/>
      <c r="BD162" s="435"/>
      <c r="BE162" s="435"/>
      <c r="BF162" s="435"/>
      <c r="BG162" s="435"/>
      <c r="BH162" s="435"/>
      <c r="BI162" s="435"/>
      <c r="BJ162" s="435"/>
      <c r="BK162" s="435"/>
      <c r="BL162" s="435"/>
      <c r="BM162" s="435"/>
      <c r="BN162" s="435"/>
      <c r="BO162" s="435"/>
      <c r="BP162" s="435"/>
      <c r="BQ162" s="435"/>
      <c r="BR162" s="435"/>
      <c r="BS162" s="436"/>
      <c r="BT162" s="409"/>
      <c r="BU162" s="409"/>
      <c r="BV162" s="409"/>
      <c r="BW162" s="409"/>
      <c r="BX162" s="409"/>
      <c r="BY162" s="409"/>
      <c r="BZ162" s="409"/>
      <c r="CA162" s="409"/>
      <c r="CB162" s="409"/>
      <c r="CC162" s="409"/>
      <c r="CD162" s="409"/>
      <c r="CE162" s="409"/>
      <c r="CF162" s="409"/>
      <c r="CG162" s="409"/>
      <c r="CH162" s="409"/>
      <c r="CI162" s="409"/>
      <c r="CJ162" s="471">
        <v>71000</v>
      </c>
      <c r="CK162" s="471"/>
      <c r="CL162" s="471"/>
      <c r="CM162" s="471"/>
      <c r="CN162" s="471"/>
      <c r="CO162" s="471"/>
      <c r="CP162" s="471"/>
      <c r="CQ162" s="471"/>
      <c r="CR162" s="471"/>
      <c r="CS162" s="471"/>
      <c r="CT162" s="471"/>
      <c r="CU162" s="471"/>
      <c r="CV162" s="471"/>
      <c r="CW162" s="471"/>
      <c r="CX162" s="471"/>
      <c r="CY162" s="471"/>
      <c r="CZ162" s="471"/>
      <c r="DA162" s="471"/>
    </row>
    <row r="163" spans="1:105" ht="12" customHeight="1">
      <c r="A163" s="407" t="s">
        <v>448</v>
      </c>
      <c r="B163" s="407"/>
      <c r="C163" s="407"/>
      <c r="D163" s="407"/>
      <c r="E163" s="407"/>
      <c r="F163" s="407"/>
      <c r="G163" s="407"/>
      <c r="H163" s="434" t="s">
        <v>449</v>
      </c>
      <c r="I163" s="435"/>
      <c r="J163" s="435"/>
      <c r="K163" s="435"/>
      <c r="L163" s="435"/>
      <c r="M163" s="435"/>
      <c r="N163" s="435"/>
      <c r="O163" s="435"/>
      <c r="P163" s="435"/>
      <c r="Q163" s="435"/>
      <c r="R163" s="435"/>
      <c r="S163" s="435"/>
      <c r="T163" s="435"/>
      <c r="U163" s="435"/>
      <c r="V163" s="435"/>
      <c r="W163" s="435"/>
      <c r="X163" s="435"/>
      <c r="Y163" s="435"/>
      <c r="Z163" s="435"/>
      <c r="AA163" s="435"/>
      <c r="AB163" s="435"/>
      <c r="AC163" s="435"/>
      <c r="AD163" s="435"/>
      <c r="AE163" s="435"/>
      <c r="AF163" s="435"/>
      <c r="AG163" s="435"/>
      <c r="AH163" s="435"/>
      <c r="AI163" s="435"/>
      <c r="AJ163" s="435"/>
      <c r="AK163" s="435"/>
      <c r="AL163" s="435"/>
      <c r="AM163" s="435"/>
      <c r="AN163" s="435"/>
      <c r="AO163" s="435"/>
      <c r="AP163" s="435"/>
      <c r="AQ163" s="435"/>
      <c r="AR163" s="435"/>
      <c r="AS163" s="435"/>
      <c r="AT163" s="435"/>
      <c r="AU163" s="435"/>
      <c r="AV163" s="435"/>
      <c r="AW163" s="435"/>
      <c r="AX163" s="435"/>
      <c r="AY163" s="435"/>
      <c r="AZ163" s="435"/>
      <c r="BA163" s="435"/>
      <c r="BB163" s="435"/>
      <c r="BC163" s="435"/>
      <c r="BD163" s="435"/>
      <c r="BE163" s="435"/>
      <c r="BF163" s="435"/>
      <c r="BG163" s="435"/>
      <c r="BH163" s="435"/>
      <c r="BI163" s="435"/>
      <c r="BJ163" s="435"/>
      <c r="BK163" s="435"/>
      <c r="BL163" s="435"/>
      <c r="BM163" s="435"/>
      <c r="BN163" s="435"/>
      <c r="BO163" s="435"/>
      <c r="BP163" s="435"/>
      <c r="BQ163" s="435"/>
      <c r="BR163" s="435"/>
      <c r="BS163" s="436"/>
      <c r="BT163" s="409"/>
      <c r="BU163" s="409"/>
      <c r="BV163" s="409"/>
      <c r="BW163" s="409"/>
      <c r="BX163" s="409"/>
      <c r="BY163" s="409"/>
      <c r="BZ163" s="409"/>
      <c r="CA163" s="409"/>
      <c r="CB163" s="409"/>
      <c r="CC163" s="409"/>
      <c r="CD163" s="409"/>
      <c r="CE163" s="409"/>
      <c r="CF163" s="409"/>
      <c r="CG163" s="409"/>
      <c r="CH163" s="409"/>
      <c r="CI163" s="409"/>
      <c r="CJ163" s="471">
        <v>100000</v>
      </c>
      <c r="CK163" s="471"/>
      <c r="CL163" s="471"/>
      <c r="CM163" s="471"/>
      <c r="CN163" s="471"/>
      <c r="CO163" s="471"/>
      <c r="CP163" s="471"/>
      <c r="CQ163" s="471"/>
      <c r="CR163" s="471"/>
      <c r="CS163" s="471"/>
      <c r="CT163" s="471"/>
      <c r="CU163" s="471"/>
      <c r="CV163" s="471"/>
      <c r="CW163" s="471"/>
      <c r="CX163" s="471"/>
      <c r="CY163" s="471"/>
      <c r="CZ163" s="471"/>
      <c r="DA163" s="471"/>
    </row>
    <row r="164" spans="1:105" ht="12" customHeight="1">
      <c r="A164" s="407" t="s">
        <v>450</v>
      </c>
      <c r="B164" s="407"/>
      <c r="C164" s="407"/>
      <c r="D164" s="407"/>
      <c r="E164" s="407"/>
      <c r="F164" s="407"/>
      <c r="G164" s="407"/>
      <c r="H164" s="434" t="s">
        <v>451</v>
      </c>
      <c r="I164" s="435"/>
      <c r="J164" s="435"/>
      <c r="K164" s="435"/>
      <c r="L164" s="435"/>
      <c r="M164" s="435"/>
      <c r="N164" s="435"/>
      <c r="O164" s="435"/>
      <c r="P164" s="435"/>
      <c r="Q164" s="435"/>
      <c r="R164" s="435"/>
      <c r="S164" s="435"/>
      <c r="T164" s="435"/>
      <c r="U164" s="435"/>
      <c r="V164" s="435"/>
      <c r="W164" s="435"/>
      <c r="X164" s="435"/>
      <c r="Y164" s="435"/>
      <c r="Z164" s="435"/>
      <c r="AA164" s="435"/>
      <c r="AB164" s="435"/>
      <c r="AC164" s="435"/>
      <c r="AD164" s="435"/>
      <c r="AE164" s="435"/>
      <c r="AF164" s="435"/>
      <c r="AG164" s="435"/>
      <c r="AH164" s="435"/>
      <c r="AI164" s="435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435"/>
      <c r="AV164" s="435"/>
      <c r="AW164" s="435"/>
      <c r="AX164" s="435"/>
      <c r="AY164" s="435"/>
      <c r="AZ164" s="435"/>
      <c r="BA164" s="435"/>
      <c r="BB164" s="435"/>
      <c r="BC164" s="435"/>
      <c r="BD164" s="435"/>
      <c r="BE164" s="435"/>
      <c r="BF164" s="435"/>
      <c r="BG164" s="435"/>
      <c r="BH164" s="435"/>
      <c r="BI164" s="435"/>
      <c r="BJ164" s="435"/>
      <c r="BK164" s="435"/>
      <c r="BL164" s="435"/>
      <c r="BM164" s="435"/>
      <c r="BN164" s="435"/>
      <c r="BO164" s="435"/>
      <c r="BP164" s="435"/>
      <c r="BQ164" s="435"/>
      <c r="BR164" s="435"/>
      <c r="BS164" s="436"/>
      <c r="BT164" s="409"/>
      <c r="BU164" s="409"/>
      <c r="BV164" s="409"/>
      <c r="BW164" s="409"/>
      <c r="BX164" s="409"/>
      <c r="BY164" s="409"/>
      <c r="BZ164" s="409"/>
      <c r="CA164" s="409"/>
      <c r="CB164" s="409"/>
      <c r="CC164" s="409"/>
      <c r="CD164" s="409"/>
      <c r="CE164" s="409"/>
      <c r="CF164" s="409"/>
      <c r="CG164" s="409"/>
      <c r="CH164" s="409"/>
      <c r="CI164" s="409"/>
      <c r="CJ164" s="471">
        <v>50000</v>
      </c>
      <c r="CK164" s="471"/>
      <c r="CL164" s="471"/>
      <c r="CM164" s="471"/>
      <c r="CN164" s="471"/>
      <c r="CO164" s="471"/>
      <c r="CP164" s="471"/>
      <c r="CQ164" s="471"/>
      <c r="CR164" s="471"/>
      <c r="CS164" s="471"/>
      <c r="CT164" s="471"/>
      <c r="CU164" s="471"/>
      <c r="CV164" s="471"/>
      <c r="CW164" s="471"/>
      <c r="CX164" s="471"/>
      <c r="CY164" s="471"/>
      <c r="CZ164" s="471"/>
      <c r="DA164" s="471"/>
    </row>
    <row r="165" spans="1:105" ht="12" customHeight="1">
      <c r="A165" s="407" t="s">
        <v>452</v>
      </c>
      <c r="B165" s="407"/>
      <c r="C165" s="407"/>
      <c r="D165" s="407"/>
      <c r="E165" s="407"/>
      <c r="F165" s="407"/>
      <c r="G165" s="407"/>
      <c r="H165" s="434" t="s">
        <v>453</v>
      </c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5"/>
      <c r="AO165" s="435"/>
      <c r="AP165" s="435"/>
      <c r="AQ165" s="435"/>
      <c r="AR165" s="435"/>
      <c r="AS165" s="435"/>
      <c r="AT165" s="435"/>
      <c r="AU165" s="435"/>
      <c r="AV165" s="435"/>
      <c r="AW165" s="435"/>
      <c r="AX165" s="435"/>
      <c r="AY165" s="435"/>
      <c r="AZ165" s="435"/>
      <c r="BA165" s="435"/>
      <c r="BB165" s="435"/>
      <c r="BC165" s="435"/>
      <c r="BD165" s="435"/>
      <c r="BE165" s="435"/>
      <c r="BF165" s="435"/>
      <c r="BG165" s="435"/>
      <c r="BH165" s="435"/>
      <c r="BI165" s="435"/>
      <c r="BJ165" s="435"/>
      <c r="BK165" s="435"/>
      <c r="BL165" s="435"/>
      <c r="BM165" s="435"/>
      <c r="BN165" s="435"/>
      <c r="BO165" s="435"/>
      <c r="BP165" s="435"/>
      <c r="BQ165" s="435"/>
      <c r="BR165" s="435"/>
      <c r="BS165" s="436"/>
      <c r="BT165" s="409"/>
      <c r="BU165" s="409"/>
      <c r="BV165" s="409"/>
      <c r="BW165" s="409"/>
      <c r="BX165" s="409"/>
      <c r="BY165" s="409"/>
      <c r="BZ165" s="409"/>
      <c r="CA165" s="409"/>
      <c r="CB165" s="409"/>
      <c r="CC165" s="409"/>
      <c r="CD165" s="409"/>
      <c r="CE165" s="409"/>
      <c r="CF165" s="409"/>
      <c r="CG165" s="409"/>
      <c r="CH165" s="409"/>
      <c r="CI165" s="409"/>
      <c r="CJ165" s="471">
        <v>100000</v>
      </c>
      <c r="CK165" s="471"/>
      <c r="CL165" s="471"/>
      <c r="CM165" s="471"/>
      <c r="CN165" s="471"/>
      <c r="CO165" s="471"/>
      <c r="CP165" s="471"/>
      <c r="CQ165" s="471"/>
      <c r="CR165" s="471"/>
      <c r="CS165" s="471"/>
      <c r="CT165" s="471"/>
      <c r="CU165" s="471"/>
      <c r="CV165" s="471"/>
      <c r="CW165" s="471"/>
      <c r="CX165" s="471"/>
      <c r="CY165" s="471"/>
      <c r="CZ165" s="471"/>
      <c r="DA165" s="471"/>
    </row>
    <row r="166" spans="1:105" ht="12" customHeight="1">
      <c r="A166" s="407" t="s">
        <v>454</v>
      </c>
      <c r="B166" s="407"/>
      <c r="C166" s="407"/>
      <c r="D166" s="407"/>
      <c r="E166" s="407"/>
      <c r="F166" s="407"/>
      <c r="G166" s="407"/>
      <c r="H166" s="434" t="s">
        <v>455</v>
      </c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5"/>
      <c r="U166" s="435"/>
      <c r="V166" s="435"/>
      <c r="W166" s="435"/>
      <c r="X166" s="435"/>
      <c r="Y166" s="435"/>
      <c r="Z166" s="435"/>
      <c r="AA166" s="435"/>
      <c r="AB166" s="435"/>
      <c r="AC166" s="435"/>
      <c r="AD166" s="435"/>
      <c r="AE166" s="435"/>
      <c r="AF166" s="435"/>
      <c r="AG166" s="435"/>
      <c r="AH166" s="435"/>
      <c r="AI166" s="435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435"/>
      <c r="AV166" s="435"/>
      <c r="AW166" s="435"/>
      <c r="AX166" s="435"/>
      <c r="AY166" s="435"/>
      <c r="AZ166" s="435"/>
      <c r="BA166" s="435"/>
      <c r="BB166" s="435"/>
      <c r="BC166" s="435"/>
      <c r="BD166" s="435"/>
      <c r="BE166" s="435"/>
      <c r="BF166" s="435"/>
      <c r="BG166" s="435"/>
      <c r="BH166" s="435"/>
      <c r="BI166" s="435"/>
      <c r="BJ166" s="435"/>
      <c r="BK166" s="435"/>
      <c r="BL166" s="435"/>
      <c r="BM166" s="435"/>
      <c r="BN166" s="435"/>
      <c r="BO166" s="435"/>
      <c r="BP166" s="435"/>
      <c r="BQ166" s="435"/>
      <c r="BR166" s="435"/>
      <c r="BS166" s="436"/>
      <c r="BT166" s="409"/>
      <c r="BU166" s="409"/>
      <c r="BV166" s="409"/>
      <c r="BW166" s="409"/>
      <c r="BX166" s="409"/>
      <c r="BY166" s="409"/>
      <c r="BZ166" s="409"/>
      <c r="CA166" s="409"/>
      <c r="CB166" s="409"/>
      <c r="CC166" s="409"/>
      <c r="CD166" s="409"/>
      <c r="CE166" s="409"/>
      <c r="CF166" s="409"/>
      <c r="CG166" s="409"/>
      <c r="CH166" s="409"/>
      <c r="CI166" s="409"/>
      <c r="CJ166" s="471">
        <v>50000</v>
      </c>
      <c r="CK166" s="471"/>
      <c r="CL166" s="471"/>
      <c r="CM166" s="471"/>
      <c r="CN166" s="471"/>
      <c r="CO166" s="471"/>
      <c r="CP166" s="471"/>
      <c r="CQ166" s="471"/>
      <c r="CR166" s="471"/>
      <c r="CS166" s="471"/>
      <c r="CT166" s="471"/>
      <c r="CU166" s="471"/>
      <c r="CV166" s="471"/>
      <c r="CW166" s="471"/>
      <c r="CX166" s="471"/>
      <c r="CY166" s="471"/>
      <c r="CZ166" s="471"/>
      <c r="DA166" s="471"/>
    </row>
    <row r="167" spans="1:105" ht="12" customHeight="1">
      <c r="A167" s="407" t="s">
        <v>456</v>
      </c>
      <c r="B167" s="407"/>
      <c r="C167" s="407"/>
      <c r="D167" s="407"/>
      <c r="E167" s="407"/>
      <c r="F167" s="407"/>
      <c r="G167" s="407"/>
      <c r="H167" s="434" t="s">
        <v>457</v>
      </c>
      <c r="I167" s="435"/>
      <c r="J167" s="435"/>
      <c r="K167" s="435"/>
      <c r="L167" s="435"/>
      <c r="M167" s="435"/>
      <c r="N167" s="435"/>
      <c r="O167" s="435"/>
      <c r="P167" s="435"/>
      <c r="Q167" s="435"/>
      <c r="R167" s="435"/>
      <c r="S167" s="435"/>
      <c r="T167" s="435"/>
      <c r="U167" s="435"/>
      <c r="V167" s="435"/>
      <c r="W167" s="435"/>
      <c r="X167" s="435"/>
      <c r="Y167" s="435"/>
      <c r="Z167" s="435"/>
      <c r="AA167" s="435"/>
      <c r="AB167" s="435"/>
      <c r="AC167" s="435"/>
      <c r="AD167" s="435"/>
      <c r="AE167" s="435"/>
      <c r="AF167" s="435"/>
      <c r="AG167" s="435"/>
      <c r="AH167" s="435"/>
      <c r="AI167" s="435"/>
      <c r="AJ167" s="435"/>
      <c r="AK167" s="435"/>
      <c r="AL167" s="435"/>
      <c r="AM167" s="435"/>
      <c r="AN167" s="435"/>
      <c r="AO167" s="435"/>
      <c r="AP167" s="435"/>
      <c r="AQ167" s="435"/>
      <c r="AR167" s="435"/>
      <c r="AS167" s="435"/>
      <c r="AT167" s="435"/>
      <c r="AU167" s="435"/>
      <c r="AV167" s="435"/>
      <c r="AW167" s="435"/>
      <c r="AX167" s="435"/>
      <c r="AY167" s="435"/>
      <c r="AZ167" s="435"/>
      <c r="BA167" s="435"/>
      <c r="BB167" s="435"/>
      <c r="BC167" s="435"/>
      <c r="BD167" s="435"/>
      <c r="BE167" s="435"/>
      <c r="BF167" s="435"/>
      <c r="BG167" s="435"/>
      <c r="BH167" s="435"/>
      <c r="BI167" s="435"/>
      <c r="BJ167" s="435"/>
      <c r="BK167" s="435"/>
      <c r="BL167" s="435"/>
      <c r="BM167" s="435"/>
      <c r="BN167" s="435"/>
      <c r="BO167" s="435"/>
      <c r="BP167" s="435"/>
      <c r="BQ167" s="435"/>
      <c r="BR167" s="435"/>
      <c r="BS167" s="436"/>
      <c r="BT167" s="409"/>
      <c r="BU167" s="409"/>
      <c r="BV167" s="409"/>
      <c r="BW167" s="409"/>
      <c r="BX167" s="409"/>
      <c r="BY167" s="409"/>
      <c r="BZ167" s="409"/>
      <c r="CA167" s="409"/>
      <c r="CB167" s="409"/>
      <c r="CC167" s="409"/>
      <c r="CD167" s="409"/>
      <c r="CE167" s="409"/>
      <c r="CF167" s="409"/>
      <c r="CG167" s="409"/>
      <c r="CH167" s="409"/>
      <c r="CI167" s="409"/>
      <c r="CJ167" s="471">
        <v>10000</v>
      </c>
      <c r="CK167" s="471"/>
      <c r="CL167" s="471"/>
      <c r="CM167" s="471"/>
      <c r="CN167" s="471"/>
      <c r="CO167" s="471"/>
      <c r="CP167" s="471"/>
      <c r="CQ167" s="471"/>
      <c r="CR167" s="471"/>
      <c r="CS167" s="471"/>
      <c r="CT167" s="471"/>
      <c r="CU167" s="471"/>
      <c r="CV167" s="471"/>
      <c r="CW167" s="471"/>
      <c r="CX167" s="471"/>
      <c r="CY167" s="471"/>
      <c r="CZ167" s="471"/>
      <c r="DA167" s="471"/>
    </row>
    <row r="168" spans="1:105" ht="12" customHeight="1">
      <c r="A168" s="407" t="s">
        <v>458</v>
      </c>
      <c r="B168" s="407"/>
      <c r="C168" s="407"/>
      <c r="D168" s="407"/>
      <c r="E168" s="407"/>
      <c r="F168" s="407"/>
      <c r="G168" s="407"/>
      <c r="H168" s="434" t="s">
        <v>459</v>
      </c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  <c r="AA168" s="435"/>
      <c r="AB168" s="435"/>
      <c r="AC168" s="435"/>
      <c r="AD168" s="435"/>
      <c r="AE168" s="435"/>
      <c r="AF168" s="435"/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435"/>
      <c r="AS168" s="435"/>
      <c r="AT168" s="435"/>
      <c r="AU168" s="435"/>
      <c r="AV168" s="435"/>
      <c r="AW168" s="435"/>
      <c r="AX168" s="435"/>
      <c r="AY168" s="435"/>
      <c r="AZ168" s="435"/>
      <c r="BA168" s="435"/>
      <c r="BB168" s="435"/>
      <c r="BC168" s="435"/>
      <c r="BD168" s="435"/>
      <c r="BE168" s="435"/>
      <c r="BF168" s="435"/>
      <c r="BG168" s="435"/>
      <c r="BH168" s="435"/>
      <c r="BI168" s="435"/>
      <c r="BJ168" s="435"/>
      <c r="BK168" s="435"/>
      <c r="BL168" s="435"/>
      <c r="BM168" s="435"/>
      <c r="BN168" s="435"/>
      <c r="BO168" s="435"/>
      <c r="BP168" s="435"/>
      <c r="BQ168" s="435"/>
      <c r="BR168" s="435"/>
      <c r="BS168" s="436"/>
      <c r="BT168" s="409"/>
      <c r="BU168" s="409"/>
      <c r="BV168" s="409"/>
      <c r="BW168" s="409"/>
      <c r="BX168" s="409"/>
      <c r="BY168" s="409"/>
      <c r="BZ168" s="409"/>
      <c r="CA168" s="409"/>
      <c r="CB168" s="409"/>
      <c r="CC168" s="409"/>
      <c r="CD168" s="409"/>
      <c r="CE168" s="409"/>
      <c r="CF168" s="409"/>
      <c r="CG168" s="409"/>
      <c r="CH168" s="409"/>
      <c r="CI168" s="409"/>
      <c r="CJ168" s="471">
        <v>135000</v>
      </c>
      <c r="CK168" s="471"/>
      <c r="CL168" s="471"/>
      <c r="CM168" s="471"/>
      <c r="CN168" s="471"/>
      <c r="CO168" s="471"/>
      <c r="CP168" s="471"/>
      <c r="CQ168" s="471"/>
      <c r="CR168" s="471"/>
      <c r="CS168" s="471"/>
      <c r="CT168" s="471"/>
      <c r="CU168" s="471"/>
      <c r="CV168" s="471"/>
      <c r="CW168" s="471"/>
      <c r="CX168" s="471"/>
      <c r="CY168" s="471"/>
      <c r="CZ168" s="471"/>
      <c r="DA168" s="471"/>
    </row>
    <row r="169" spans="1:105" ht="12" customHeight="1">
      <c r="A169" s="407" t="s">
        <v>460</v>
      </c>
      <c r="B169" s="407"/>
      <c r="C169" s="407"/>
      <c r="D169" s="407"/>
      <c r="E169" s="407"/>
      <c r="F169" s="407"/>
      <c r="G169" s="407"/>
      <c r="H169" s="434" t="s">
        <v>461</v>
      </c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  <c r="AA169" s="435"/>
      <c r="AB169" s="435"/>
      <c r="AC169" s="435"/>
      <c r="AD169" s="435"/>
      <c r="AE169" s="435"/>
      <c r="AF169" s="435"/>
      <c r="AG169" s="435"/>
      <c r="AH169" s="435"/>
      <c r="AI169" s="435"/>
      <c r="AJ169" s="435"/>
      <c r="AK169" s="435"/>
      <c r="AL169" s="435"/>
      <c r="AM169" s="435"/>
      <c r="AN169" s="435"/>
      <c r="AO169" s="435"/>
      <c r="AP169" s="435"/>
      <c r="AQ169" s="435"/>
      <c r="AR169" s="435"/>
      <c r="AS169" s="435"/>
      <c r="AT169" s="435"/>
      <c r="AU169" s="435"/>
      <c r="AV169" s="435"/>
      <c r="AW169" s="435"/>
      <c r="AX169" s="435"/>
      <c r="AY169" s="435"/>
      <c r="AZ169" s="435"/>
      <c r="BA169" s="435"/>
      <c r="BB169" s="435"/>
      <c r="BC169" s="435"/>
      <c r="BD169" s="435"/>
      <c r="BE169" s="435"/>
      <c r="BF169" s="435"/>
      <c r="BG169" s="435"/>
      <c r="BH169" s="435"/>
      <c r="BI169" s="435"/>
      <c r="BJ169" s="435"/>
      <c r="BK169" s="435"/>
      <c r="BL169" s="435"/>
      <c r="BM169" s="435"/>
      <c r="BN169" s="435"/>
      <c r="BO169" s="435"/>
      <c r="BP169" s="435"/>
      <c r="BQ169" s="435"/>
      <c r="BR169" s="435"/>
      <c r="BS169" s="436"/>
      <c r="BT169" s="409"/>
      <c r="BU169" s="409"/>
      <c r="BV169" s="409"/>
      <c r="BW169" s="409"/>
      <c r="BX169" s="409"/>
      <c r="BY169" s="409"/>
      <c r="BZ169" s="409"/>
      <c r="CA169" s="409"/>
      <c r="CB169" s="409"/>
      <c r="CC169" s="409"/>
      <c r="CD169" s="409"/>
      <c r="CE169" s="409"/>
      <c r="CF169" s="409"/>
      <c r="CG169" s="409"/>
      <c r="CH169" s="409"/>
      <c r="CI169" s="409"/>
      <c r="CJ169" s="471">
        <v>40000</v>
      </c>
      <c r="CK169" s="471"/>
      <c r="CL169" s="471"/>
      <c r="CM169" s="471"/>
      <c r="CN169" s="471"/>
      <c r="CO169" s="471"/>
      <c r="CP169" s="471"/>
      <c r="CQ169" s="471"/>
      <c r="CR169" s="471"/>
      <c r="CS169" s="471"/>
      <c r="CT169" s="471"/>
      <c r="CU169" s="471"/>
      <c r="CV169" s="471"/>
      <c r="CW169" s="471"/>
      <c r="CX169" s="471"/>
      <c r="CY169" s="471"/>
      <c r="CZ169" s="471"/>
      <c r="DA169" s="471"/>
    </row>
    <row r="170" spans="1:105" ht="12" customHeight="1">
      <c r="A170" s="407" t="s">
        <v>462</v>
      </c>
      <c r="B170" s="407"/>
      <c r="C170" s="407"/>
      <c r="D170" s="407"/>
      <c r="E170" s="407"/>
      <c r="F170" s="407"/>
      <c r="G170" s="407"/>
      <c r="H170" s="434" t="s">
        <v>463</v>
      </c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  <c r="AA170" s="435"/>
      <c r="AB170" s="435"/>
      <c r="AC170" s="435"/>
      <c r="AD170" s="435"/>
      <c r="AE170" s="435"/>
      <c r="AF170" s="435"/>
      <c r="AG170" s="435"/>
      <c r="AH170" s="435"/>
      <c r="AI170" s="435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435"/>
      <c r="AV170" s="435"/>
      <c r="AW170" s="435"/>
      <c r="AX170" s="435"/>
      <c r="AY170" s="435"/>
      <c r="AZ170" s="435"/>
      <c r="BA170" s="435"/>
      <c r="BB170" s="435"/>
      <c r="BC170" s="435"/>
      <c r="BD170" s="435"/>
      <c r="BE170" s="435"/>
      <c r="BF170" s="435"/>
      <c r="BG170" s="435"/>
      <c r="BH170" s="435"/>
      <c r="BI170" s="435"/>
      <c r="BJ170" s="435"/>
      <c r="BK170" s="435"/>
      <c r="BL170" s="435"/>
      <c r="BM170" s="435"/>
      <c r="BN170" s="435"/>
      <c r="BO170" s="435"/>
      <c r="BP170" s="435"/>
      <c r="BQ170" s="435"/>
      <c r="BR170" s="435"/>
      <c r="BS170" s="436"/>
      <c r="BT170" s="409"/>
      <c r="BU170" s="409"/>
      <c r="BV170" s="409"/>
      <c r="BW170" s="409"/>
      <c r="BX170" s="409"/>
      <c r="BY170" s="409"/>
      <c r="BZ170" s="409"/>
      <c r="CA170" s="409"/>
      <c r="CB170" s="409"/>
      <c r="CC170" s="409"/>
      <c r="CD170" s="409"/>
      <c r="CE170" s="409"/>
      <c r="CF170" s="409"/>
      <c r="CG170" s="409"/>
      <c r="CH170" s="409"/>
      <c r="CI170" s="409"/>
      <c r="CJ170" s="471">
        <v>300000</v>
      </c>
      <c r="CK170" s="471"/>
      <c r="CL170" s="471"/>
      <c r="CM170" s="471"/>
      <c r="CN170" s="471"/>
      <c r="CO170" s="471"/>
      <c r="CP170" s="471"/>
      <c r="CQ170" s="471"/>
      <c r="CR170" s="471"/>
      <c r="CS170" s="471"/>
      <c r="CT170" s="471"/>
      <c r="CU170" s="471"/>
      <c r="CV170" s="471"/>
      <c r="CW170" s="471"/>
      <c r="CX170" s="471"/>
      <c r="CY170" s="471"/>
      <c r="CZ170" s="471"/>
      <c r="DA170" s="471"/>
    </row>
    <row r="171" spans="1:105" ht="12" customHeight="1">
      <c r="A171" s="407" t="s">
        <v>464</v>
      </c>
      <c r="B171" s="407"/>
      <c r="C171" s="407"/>
      <c r="D171" s="407"/>
      <c r="E171" s="407"/>
      <c r="F171" s="407"/>
      <c r="G171" s="407"/>
      <c r="H171" s="434" t="s">
        <v>465</v>
      </c>
      <c r="I171" s="435"/>
      <c r="J171" s="435"/>
      <c r="K171" s="435"/>
      <c r="L171" s="435"/>
      <c r="M171" s="435"/>
      <c r="N171" s="435"/>
      <c r="O171" s="435"/>
      <c r="P171" s="435"/>
      <c r="Q171" s="435"/>
      <c r="R171" s="435"/>
      <c r="S171" s="435"/>
      <c r="T171" s="435"/>
      <c r="U171" s="435"/>
      <c r="V171" s="435"/>
      <c r="W171" s="435"/>
      <c r="X171" s="435"/>
      <c r="Y171" s="435"/>
      <c r="Z171" s="435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5"/>
      <c r="AP171" s="435"/>
      <c r="AQ171" s="435"/>
      <c r="AR171" s="435"/>
      <c r="AS171" s="435"/>
      <c r="AT171" s="435"/>
      <c r="AU171" s="435"/>
      <c r="AV171" s="435"/>
      <c r="AW171" s="435"/>
      <c r="AX171" s="435"/>
      <c r="AY171" s="435"/>
      <c r="AZ171" s="435"/>
      <c r="BA171" s="435"/>
      <c r="BB171" s="435"/>
      <c r="BC171" s="435"/>
      <c r="BD171" s="435"/>
      <c r="BE171" s="435"/>
      <c r="BF171" s="435"/>
      <c r="BG171" s="435"/>
      <c r="BH171" s="435"/>
      <c r="BI171" s="435"/>
      <c r="BJ171" s="435"/>
      <c r="BK171" s="435"/>
      <c r="BL171" s="435"/>
      <c r="BM171" s="435"/>
      <c r="BN171" s="435"/>
      <c r="BO171" s="435"/>
      <c r="BP171" s="435"/>
      <c r="BQ171" s="435"/>
      <c r="BR171" s="435"/>
      <c r="BS171" s="436"/>
      <c r="BT171" s="409"/>
      <c r="BU171" s="409"/>
      <c r="BV171" s="409"/>
      <c r="BW171" s="409"/>
      <c r="BX171" s="409"/>
      <c r="BY171" s="409"/>
      <c r="BZ171" s="409"/>
      <c r="CA171" s="409"/>
      <c r="CB171" s="409"/>
      <c r="CC171" s="409"/>
      <c r="CD171" s="409"/>
      <c r="CE171" s="409"/>
      <c r="CF171" s="409"/>
      <c r="CG171" s="409"/>
      <c r="CH171" s="409"/>
      <c r="CI171" s="409"/>
      <c r="CJ171" s="471">
        <v>500000</v>
      </c>
      <c r="CK171" s="471"/>
      <c r="CL171" s="471"/>
      <c r="CM171" s="471"/>
      <c r="CN171" s="471"/>
      <c r="CO171" s="471"/>
      <c r="CP171" s="471"/>
      <c r="CQ171" s="471"/>
      <c r="CR171" s="471"/>
      <c r="CS171" s="471"/>
      <c r="CT171" s="471"/>
      <c r="CU171" s="471"/>
      <c r="CV171" s="471"/>
      <c r="CW171" s="471"/>
      <c r="CX171" s="471"/>
      <c r="CY171" s="471"/>
      <c r="CZ171" s="471"/>
      <c r="DA171" s="471"/>
    </row>
    <row r="172" spans="1:105" ht="12" customHeight="1">
      <c r="A172" s="407" t="s">
        <v>466</v>
      </c>
      <c r="B172" s="407"/>
      <c r="C172" s="407"/>
      <c r="D172" s="407"/>
      <c r="E172" s="407"/>
      <c r="F172" s="407"/>
      <c r="G172" s="407"/>
      <c r="H172" s="434" t="s">
        <v>467</v>
      </c>
      <c r="I172" s="435"/>
      <c r="J172" s="435"/>
      <c r="K172" s="435"/>
      <c r="L172" s="435"/>
      <c r="M172" s="435"/>
      <c r="N172" s="435"/>
      <c r="O172" s="435"/>
      <c r="P172" s="435"/>
      <c r="Q172" s="435"/>
      <c r="R172" s="435"/>
      <c r="S172" s="435"/>
      <c r="T172" s="435"/>
      <c r="U172" s="435"/>
      <c r="V172" s="435"/>
      <c r="W172" s="435"/>
      <c r="X172" s="435"/>
      <c r="Y172" s="435"/>
      <c r="Z172" s="435"/>
      <c r="AA172" s="435"/>
      <c r="AB172" s="435"/>
      <c r="AC172" s="435"/>
      <c r="AD172" s="435"/>
      <c r="AE172" s="435"/>
      <c r="AF172" s="435"/>
      <c r="AG172" s="435"/>
      <c r="AH172" s="435"/>
      <c r="AI172" s="435"/>
      <c r="AJ172" s="435"/>
      <c r="AK172" s="435"/>
      <c r="AL172" s="435"/>
      <c r="AM172" s="435"/>
      <c r="AN172" s="435"/>
      <c r="AO172" s="435"/>
      <c r="AP172" s="435"/>
      <c r="AQ172" s="435"/>
      <c r="AR172" s="435"/>
      <c r="AS172" s="435"/>
      <c r="AT172" s="435"/>
      <c r="AU172" s="435"/>
      <c r="AV172" s="435"/>
      <c r="AW172" s="435"/>
      <c r="AX172" s="435"/>
      <c r="AY172" s="435"/>
      <c r="AZ172" s="435"/>
      <c r="BA172" s="435"/>
      <c r="BB172" s="435"/>
      <c r="BC172" s="435"/>
      <c r="BD172" s="435"/>
      <c r="BE172" s="435"/>
      <c r="BF172" s="435"/>
      <c r="BG172" s="435"/>
      <c r="BH172" s="435"/>
      <c r="BI172" s="435"/>
      <c r="BJ172" s="435"/>
      <c r="BK172" s="435"/>
      <c r="BL172" s="435"/>
      <c r="BM172" s="435"/>
      <c r="BN172" s="435"/>
      <c r="BO172" s="435"/>
      <c r="BP172" s="435"/>
      <c r="BQ172" s="435"/>
      <c r="BR172" s="435"/>
      <c r="BS172" s="436"/>
      <c r="BT172" s="409"/>
      <c r="BU172" s="409"/>
      <c r="BV172" s="409"/>
      <c r="BW172" s="409"/>
      <c r="BX172" s="409"/>
      <c r="BY172" s="409"/>
      <c r="BZ172" s="409"/>
      <c r="CA172" s="409"/>
      <c r="CB172" s="409"/>
      <c r="CC172" s="409"/>
      <c r="CD172" s="409"/>
      <c r="CE172" s="409"/>
      <c r="CF172" s="409"/>
      <c r="CG172" s="409"/>
      <c r="CH172" s="409"/>
      <c r="CI172" s="409"/>
      <c r="CJ172" s="471">
        <v>16500000</v>
      </c>
      <c r="CK172" s="471"/>
      <c r="CL172" s="471"/>
      <c r="CM172" s="471"/>
      <c r="CN172" s="471"/>
      <c r="CO172" s="471"/>
      <c r="CP172" s="471"/>
      <c r="CQ172" s="471"/>
      <c r="CR172" s="471"/>
      <c r="CS172" s="471"/>
      <c r="CT172" s="471"/>
      <c r="CU172" s="471"/>
      <c r="CV172" s="471"/>
      <c r="CW172" s="471"/>
      <c r="CX172" s="471"/>
      <c r="CY172" s="471"/>
      <c r="CZ172" s="471"/>
      <c r="DA172" s="471"/>
    </row>
    <row r="173" spans="1:105" ht="12" customHeight="1">
      <c r="A173" s="407" t="s">
        <v>468</v>
      </c>
      <c r="B173" s="407"/>
      <c r="C173" s="407"/>
      <c r="D173" s="407"/>
      <c r="E173" s="407"/>
      <c r="F173" s="407"/>
      <c r="G173" s="407"/>
      <c r="H173" s="434" t="s">
        <v>469</v>
      </c>
      <c r="I173" s="435"/>
      <c r="J173" s="435"/>
      <c r="K173" s="435"/>
      <c r="L173" s="435"/>
      <c r="M173" s="435"/>
      <c r="N173" s="435"/>
      <c r="O173" s="435"/>
      <c r="P173" s="435"/>
      <c r="Q173" s="435"/>
      <c r="R173" s="435"/>
      <c r="S173" s="435"/>
      <c r="T173" s="435"/>
      <c r="U173" s="435"/>
      <c r="V173" s="435"/>
      <c r="W173" s="435"/>
      <c r="X173" s="435"/>
      <c r="Y173" s="435"/>
      <c r="Z173" s="435"/>
      <c r="AA173" s="435"/>
      <c r="AB173" s="435"/>
      <c r="AC173" s="435"/>
      <c r="AD173" s="435"/>
      <c r="AE173" s="435"/>
      <c r="AF173" s="435"/>
      <c r="AG173" s="435"/>
      <c r="AH173" s="435"/>
      <c r="AI173" s="435"/>
      <c r="AJ173" s="435"/>
      <c r="AK173" s="435"/>
      <c r="AL173" s="435"/>
      <c r="AM173" s="435"/>
      <c r="AN173" s="435"/>
      <c r="AO173" s="435"/>
      <c r="AP173" s="435"/>
      <c r="AQ173" s="435"/>
      <c r="AR173" s="435"/>
      <c r="AS173" s="435"/>
      <c r="AT173" s="435"/>
      <c r="AU173" s="435"/>
      <c r="AV173" s="435"/>
      <c r="AW173" s="435"/>
      <c r="AX173" s="435"/>
      <c r="AY173" s="435"/>
      <c r="AZ173" s="435"/>
      <c r="BA173" s="435"/>
      <c r="BB173" s="435"/>
      <c r="BC173" s="435"/>
      <c r="BD173" s="435"/>
      <c r="BE173" s="435"/>
      <c r="BF173" s="435"/>
      <c r="BG173" s="435"/>
      <c r="BH173" s="435"/>
      <c r="BI173" s="435"/>
      <c r="BJ173" s="435"/>
      <c r="BK173" s="435"/>
      <c r="BL173" s="435"/>
      <c r="BM173" s="435"/>
      <c r="BN173" s="435"/>
      <c r="BO173" s="435"/>
      <c r="BP173" s="435"/>
      <c r="BQ173" s="435"/>
      <c r="BR173" s="435"/>
      <c r="BS173" s="436"/>
      <c r="BT173" s="409"/>
      <c r="BU173" s="409"/>
      <c r="BV173" s="409"/>
      <c r="BW173" s="409"/>
      <c r="BX173" s="409"/>
      <c r="BY173" s="409"/>
      <c r="BZ173" s="409"/>
      <c r="CA173" s="409"/>
      <c r="CB173" s="409"/>
      <c r="CC173" s="409"/>
      <c r="CD173" s="409"/>
      <c r="CE173" s="409"/>
      <c r="CF173" s="409"/>
      <c r="CG173" s="409"/>
      <c r="CH173" s="409"/>
      <c r="CI173" s="409"/>
      <c r="CJ173" s="471">
        <v>155000</v>
      </c>
      <c r="CK173" s="471"/>
      <c r="CL173" s="471"/>
      <c r="CM173" s="471"/>
      <c r="CN173" s="471"/>
      <c r="CO173" s="471"/>
      <c r="CP173" s="471"/>
      <c r="CQ173" s="471"/>
      <c r="CR173" s="471"/>
      <c r="CS173" s="471"/>
      <c r="CT173" s="471"/>
      <c r="CU173" s="471"/>
      <c r="CV173" s="471"/>
      <c r="CW173" s="471"/>
      <c r="CX173" s="471"/>
      <c r="CY173" s="471"/>
      <c r="CZ173" s="471"/>
      <c r="DA173" s="471"/>
    </row>
    <row r="174" spans="1:105" ht="12" customHeight="1">
      <c r="A174" s="407" t="s">
        <v>470</v>
      </c>
      <c r="B174" s="407"/>
      <c r="C174" s="407"/>
      <c r="D174" s="407"/>
      <c r="E174" s="407"/>
      <c r="F174" s="407"/>
      <c r="G174" s="407"/>
      <c r="H174" s="434" t="s">
        <v>471</v>
      </c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5"/>
      <c r="T174" s="435"/>
      <c r="U174" s="435"/>
      <c r="V174" s="435"/>
      <c r="W174" s="435"/>
      <c r="X174" s="435"/>
      <c r="Y174" s="435"/>
      <c r="Z174" s="435"/>
      <c r="AA174" s="435"/>
      <c r="AB174" s="435"/>
      <c r="AC174" s="435"/>
      <c r="AD174" s="435"/>
      <c r="AE174" s="435"/>
      <c r="AF174" s="435"/>
      <c r="AG174" s="435"/>
      <c r="AH174" s="435"/>
      <c r="AI174" s="435"/>
      <c r="AJ174" s="435"/>
      <c r="AK174" s="435"/>
      <c r="AL174" s="435"/>
      <c r="AM174" s="435"/>
      <c r="AN174" s="435"/>
      <c r="AO174" s="435"/>
      <c r="AP174" s="435"/>
      <c r="AQ174" s="435"/>
      <c r="AR174" s="435"/>
      <c r="AS174" s="435"/>
      <c r="AT174" s="435"/>
      <c r="AU174" s="435"/>
      <c r="AV174" s="435"/>
      <c r="AW174" s="435"/>
      <c r="AX174" s="435"/>
      <c r="AY174" s="435"/>
      <c r="AZ174" s="435"/>
      <c r="BA174" s="435"/>
      <c r="BB174" s="435"/>
      <c r="BC174" s="435"/>
      <c r="BD174" s="435"/>
      <c r="BE174" s="435"/>
      <c r="BF174" s="435"/>
      <c r="BG174" s="435"/>
      <c r="BH174" s="435"/>
      <c r="BI174" s="435"/>
      <c r="BJ174" s="435"/>
      <c r="BK174" s="435"/>
      <c r="BL174" s="435"/>
      <c r="BM174" s="435"/>
      <c r="BN174" s="435"/>
      <c r="BO174" s="435"/>
      <c r="BP174" s="435"/>
      <c r="BQ174" s="435"/>
      <c r="BR174" s="435"/>
      <c r="BS174" s="436"/>
      <c r="BT174" s="409"/>
      <c r="BU174" s="409"/>
      <c r="BV174" s="409"/>
      <c r="BW174" s="409"/>
      <c r="BX174" s="409"/>
      <c r="BY174" s="409"/>
      <c r="BZ174" s="409"/>
      <c r="CA174" s="409"/>
      <c r="CB174" s="409"/>
      <c r="CC174" s="409"/>
      <c r="CD174" s="409"/>
      <c r="CE174" s="409"/>
      <c r="CF174" s="409"/>
      <c r="CG174" s="409"/>
      <c r="CH174" s="409"/>
      <c r="CI174" s="409"/>
      <c r="CJ174" s="471">
        <v>250000</v>
      </c>
      <c r="CK174" s="471"/>
      <c r="CL174" s="471"/>
      <c r="CM174" s="471"/>
      <c r="CN174" s="471"/>
      <c r="CO174" s="471"/>
      <c r="CP174" s="471"/>
      <c r="CQ174" s="471"/>
      <c r="CR174" s="471"/>
      <c r="CS174" s="471"/>
      <c r="CT174" s="471"/>
      <c r="CU174" s="471"/>
      <c r="CV174" s="471"/>
      <c r="CW174" s="471"/>
      <c r="CX174" s="471"/>
      <c r="CY174" s="471"/>
      <c r="CZ174" s="471"/>
      <c r="DA174" s="471"/>
    </row>
    <row r="175" spans="1:105" ht="12" customHeight="1">
      <c r="A175" s="407" t="s">
        <v>472</v>
      </c>
      <c r="B175" s="407"/>
      <c r="C175" s="407"/>
      <c r="D175" s="407"/>
      <c r="E175" s="407"/>
      <c r="F175" s="407"/>
      <c r="G175" s="407"/>
      <c r="H175" s="434" t="s">
        <v>473</v>
      </c>
      <c r="I175" s="435"/>
      <c r="J175" s="435"/>
      <c r="K175" s="435"/>
      <c r="L175" s="435"/>
      <c r="M175" s="435"/>
      <c r="N175" s="435"/>
      <c r="O175" s="435"/>
      <c r="P175" s="435"/>
      <c r="Q175" s="435"/>
      <c r="R175" s="435"/>
      <c r="S175" s="435"/>
      <c r="T175" s="435"/>
      <c r="U175" s="435"/>
      <c r="V175" s="435"/>
      <c r="W175" s="435"/>
      <c r="X175" s="435"/>
      <c r="Y175" s="435"/>
      <c r="Z175" s="435"/>
      <c r="AA175" s="435"/>
      <c r="AB175" s="435"/>
      <c r="AC175" s="435"/>
      <c r="AD175" s="435"/>
      <c r="AE175" s="435"/>
      <c r="AF175" s="435"/>
      <c r="AG175" s="435"/>
      <c r="AH175" s="435"/>
      <c r="AI175" s="435"/>
      <c r="AJ175" s="435"/>
      <c r="AK175" s="435"/>
      <c r="AL175" s="435"/>
      <c r="AM175" s="435"/>
      <c r="AN175" s="435"/>
      <c r="AO175" s="435"/>
      <c r="AP175" s="435"/>
      <c r="AQ175" s="435"/>
      <c r="AR175" s="435"/>
      <c r="AS175" s="435"/>
      <c r="AT175" s="435"/>
      <c r="AU175" s="435"/>
      <c r="AV175" s="435"/>
      <c r="AW175" s="435"/>
      <c r="AX175" s="435"/>
      <c r="AY175" s="435"/>
      <c r="AZ175" s="435"/>
      <c r="BA175" s="435"/>
      <c r="BB175" s="435"/>
      <c r="BC175" s="435"/>
      <c r="BD175" s="435"/>
      <c r="BE175" s="435"/>
      <c r="BF175" s="435"/>
      <c r="BG175" s="435"/>
      <c r="BH175" s="435"/>
      <c r="BI175" s="435"/>
      <c r="BJ175" s="435"/>
      <c r="BK175" s="435"/>
      <c r="BL175" s="435"/>
      <c r="BM175" s="435"/>
      <c r="BN175" s="435"/>
      <c r="BO175" s="435"/>
      <c r="BP175" s="435"/>
      <c r="BQ175" s="435"/>
      <c r="BR175" s="435"/>
      <c r="BS175" s="436"/>
      <c r="BT175" s="409"/>
      <c r="BU175" s="409"/>
      <c r="BV175" s="409"/>
      <c r="BW175" s="409"/>
      <c r="BX175" s="409"/>
      <c r="BY175" s="409"/>
      <c r="BZ175" s="409"/>
      <c r="CA175" s="409"/>
      <c r="CB175" s="409"/>
      <c r="CC175" s="409"/>
      <c r="CD175" s="409"/>
      <c r="CE175" s="409"/>
      <c r="CF175" s="409"/>
      <c r="CG175" s="409"/>
      <c r="CH175" s="409"/>
      <c r="CI175" s="409"/>
      <c r="CJ175" s="471">
        <v>300000</v>
      </c>
      <c r="CK175" s="471"/>
      <c r="CL175" s="471"/>
      <c r="CM175" s="471"/>
      <c r="CN175" s="471"/>
      <c r="CO175" s="471"/>
      <c r="CP175" s="471"/>
      <c r="CQ175" s="471"/>
      <c r="CR175" s="471"/>
      <c r="CS175" s="471"/>
      <c r="CT175" s="471"/>
      <c r="CU175" s="471"/>
      <c r="CV175" s="471"/>
      <c r="CW175" s="471"/>
      <c r="CX175" s="471"/>
      <c r="CY175" s="471"/>
      <c r="CZ175" s="471"/>
      <c r="DA175" s="471"/>
    </row>
    <row r="176" spans="1:105" ht="12" customHeight="1">
      <c r="A176" s="407"/>
      <c r="B176" s="407"/>
      <c r="C176" s="407"/>
      <c r="D176" s="407"/>
      <c r="E176" s="407"/>
      <c r="F176" s="407"/>
      <c r="G176" s="407"/>
      <c r="H176" s="502" t="s">
        <v>233</v>
      </c>
      <c r="I176" s="503"/>
      <c r="J176" s="503"/>
      <c r="K176" s="503"/>
      <c r="L176" s="503"/>
      <c r="M176" s="503"/>
      <c r="N176" s="503"/>
      <c r="O176" s="503"/>
      <c r="P176" s="503"/>
      <c r="Q176" s="503"/>
      <c r="R176" s="503"/>
      <c r="S176" s="503"/>
      <c r="T176" s="503"/>
      <c r="U176" s="503"/>
      <c r="V176" s="503"/>
      <c r="W176" s="503"/>
      <c r="X176" s="503"/>
      <c r="Y176" s="503"/>
      <c r="Z176" s="503"/>
      <c r="AA176" s="503"/>
      <c r="AB176" s="503"/>
      <c r="AC176" s="503"/>
      <c r="AD176" s="503"/>
      <c r="AE176" s="503"/>
      <c r="AF176" s="503"/>
      <c r="AG176" s="503"/>
      <c r="AH176" s="503"/>
      <c r="AI176" s="503"/>
      <c r="AJ176" s="503"/>
      <c r="AK176" s="503"/>
      <c r="AL176" s="503"/>
      <c r="AM176" s="503"/>
      <c r="AN176" s="503"/>
      <c r="AO176" s="503"/>
      <c r="AP176" s="503"/>
      <c r="AQ176" s="503"/>
      <c r="AR176" s="503"/>
      <c r="AS176" s="503"/>
      <c r="AT176" s="503"/>
      <c r="AU176" s="503"/>
      <c r="AV176" s="503"/>
      <c r="AW176" s="503"/>
      <c r="AX176" s="503"/>
      <c r="AY176" s="503"/>
      <c r="AZ176" s="503"/>
      <c r="BA176" s="503"/>
      <c r="BB176" s="503"/>
      <c r="BC176" s="503"/>
      <c r="BD176" s="503"/>
      <c r="BE176" s="503"/>
      <c r="BF176" s="503"/>
      <c r="BG176" s="503"/>
      <c r="BH176" s="503"/>
      <c r="BI176" s="503"/>
      <c r="BJ176" s="503"/>
      <c r="BK176" s="503"/>
      <c r="BL176" s="503"/>
      <c r="BM176" s="503"/>
      <c r="BN176" s="503"/>
      <c r="BO176" s="503"/>
      <c r="BP176" s="503"/>
      <c r="BQ176" s="503"/>
      <c r="BR176" s="503"/>
      <c r="BS176" s="504"/>
      <c r="BT176" s="409" t="s">
        <v>234</v>
      </c>
      <c r="BU176" s="409"/>
      <c r="BV176" s="409"/>
      <c r="BW176" s="409"/>
      <c r="BX176" s="409"/>
      <c r="BY176" s="409"/>
      <c r="BZ176" s="409"/>
      <c r="CA176" s="409"/>
      <c r="CB176" s="409"/>
      <c r="CC176" s="409"/>
      <c r="CD176" s="409"/>
      <c r="CE176" s="409"/>
      <c r="CF176" s="409"/>
      <c r="CG176" s="409"/>
      <c r="CH176" s="409"/>
      <c r="CI176" s="409"/>
      <c r="CJ176" s="490">
        <f>SUM(CJ139:CJ175)</f>
        <v>34210000</v>
      </c>
      <c r="CK176" s="413"/>
      <c r="CL176" s="413"/>
      <c r="CM176" s="413"/>
      <c r="CN176" s="413"/>
      <c r="CO176" s="413"/>
      <c r="CP176" s="413"/>
      <c r="CQ176" s="413"/>
      <c r="CR176" s="413"/>
      <c r="CS176" s="413"/>
      <c r="CT176" s="413"/>
      <c r="CU176" s="413"/>
      <c r="CV176" s="413"/>
      <c r="CW176" s="413"/>
      <c r="CX176" s="413"/>
      <c r="CY176" s="413"/>
      <c r="CZ176" s="413"/>
      <c r="DA176" s="413"/>
    </row>
    <row r="178" spans="1:105" ht="24.75" customHeight="1">
      <c r="A178" s="439" t="s">
        <v>474</v>
      </c>
      <c r="B178" s="439"/>
      <c r="C178" s="439"/>
      <c r="D178" s="439"/>
      <c r="E178" s="439"/>
      <c r="F178" s="439"/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  <c r="T178" s="439"/>
      <c r="U178" s="439"/>
      <c r="V178" s="439"/>
      <c r="W178" s="439"/>
      <c r="X178" s="439"/>
      <c r="Y178" s="439"/>
      <c r="Z178" s="439"/>
      <c r="AA178" s="439"/>
      <c r="AB178" s="439"/>
      <c r="AC178" s="439"/>
      <c r="AD178" s="439"/>
      <c r="AE178" s="439"/>
      <c r="AF178" s="439"/>
      <c r="AG178" s="439"/>
      <c r="AH178" s="439"/>
      <c r="AI178" s="439"/>
      <c r="AJ178" s="439"/>
      <c r="AK178" s="439"/>
      <c r="AL178" s="439"/>
      <c r="AM178" s="439"/>
      <c r="AN178" s="439"/>
      <c r="AO178" s="439"/>
      <c r="AP178" s="439"/>
      <c r="AQ178" s="439"/>
      <c r="AR178" s="439"/>
      <c r="AS178" s="439"/>
      <c r="AT178" s="439"/>
      <c r="AU178" s="439"/>
      <c r="AV178" s="439"/>
      <c r="AW178" s="439"/>
      <c r="AX178" s="439"/>
      <c r="AY178" s="439"/>
      <c r="AZ178" s="439"/>
      <c r="BA178" s="439"/>
      <c r="BB178" s="439"/>
      <c r="BC178" s="439"/>
      <c r="BD178" s="439"/>
      <c r="BE178" s="439"/>
      <c r="BF178" s="439"/>
      <c r="BG178" s="439"/>
      <c r="BH178" s="439"/>
      <c r="BI178" s="439"/>
      <c r="BJ178" s="439"/>
      <c r="BK178" s="439"/>
      <c r="BL178" s="439"/>
      <c r="BM178" s="439"/>
      <c r="BN178" s="439"/>
      <c r="BO178" s="439"/>
      <c r="BP178" s="439"/>
      <c r="BQ178" s="439"/>
      <c r="BR178" s="439"/>
      <c r="BS178" s="439"/>
      <c r="BT178" s="439"/>
      <c r="BU178" s="439"/>
      <c r="BV178" s="439"/>
      <c r="BW178" s="439"/>
      <c r="BX178" s="439"/>
      <c r="BY178" s="439"/>
      <c r="BZ178" s="439"/>
      <c r="CA178" s="439"/>
      <c r="CB178" s="439"/>
      <c r="CC178" s="439"/>
      <c r="CD178" s="439"/>
      <c r="CE178" s="439"/>
      <c r="CF178" s="439"/>
      <c r="CG178" s="439"/>
      <c r="CH178" s="439"/>
      <c r="CI178" s="439"/>
      <c r="CJ178" s="439"/>
      <c r="CK178" s="439"/>
      <c r="CL178" s="439"/>
      <c r="CM178" s="439"/>
      <c r="CN178" s="439"/>
      <c r="CO178" s="439"/>
      <c r="CP178" s="439"/>
      <c r="CQ178" s="439"/>
      <c r="CR178" s="439"/>
      <c r="CS178" s="439"/>
      <c r="CT178" s="439"/>
      <c r="CU178" s="439"/>
      <c r="CV178" s="439"/>
      <c r="CW178" s="439"/>
      <c r="CX178" s="439"/>
      <c r="CY178" s="439"/>
      <c r="CZ178" s="439"/>
      <c r="DA178" s="439"/>
    </row>
    <row r="180" spans="1:105" ht="12" customHeight="1">
      <c r="A180" s="419" t="s">
        <v>192</v>
      </c>
      <c r="B180" s="420"/>
      <c r="C180" s="420"/>
      <c r="D180" s="420"/>
      <c r="E180" s="420"/>
      <c r="F180" s="420"/>
      <c r="G180" s="421"/>
      <c r="H180" s="201" t="s">
        <v>273</v>
      </c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02"/>
      <c r="AT180" s="202"/>
      <c r="AU180" s="202"/>
      <c r="AV180" s="202"/>
      <c r="AW180" s="202"/>
      <c r="AX180" s="202"/>
      <c r="AY180" s="202"/>
      <c r="AZ180" s="202"/>
      <c r="BA180" s="202"/>
      <c r="BB180" s="202"/>
      <c r="BC180" s="203"/>
      <c r="BD180" s="419" t="s">
        <v>295</v>
      </c>
      <c r="BE180" s="420"/>
      <c r="BF180" s="420"/>
      <c r="BG180" s="420"/>
      <c r="BH180" s="420"/>
      <c r="BI180" s="420"/>
      <c r="BJ180" s="420"/>
      <c r="BK180" s="420"/>
      <c r="BL180" s="420"/>
      <c r="BM180" s="420"/>
      <c r="BN180" s="420"/>
      <c r="BO180" s="420"/>
      <c r="BP180" s="420"/>
      <c r="BQ180" s="420"/>
      <c r="BR180" s="420"/>
      <c r="BS180" s="421"/>
      <c r="BT180" s="419" t="s">
        <v>306</v>
      </c>
      <c r="BU180" s="420"/>
      <c r="BV180" s="420"/>
      <c r="BW180" s="420"/>
      <c r="BX180" s="420"/>
      <c r="BY180" s="420"/>
      <c r="BZ180" s="420"/>
      <c r="CA180" s="420"/>
      <c r="CB180" s="420"/>
      <c r="CC180" s="420"/>
      <c r="CD180" s="420"/>
      <c r="CE180" s="420"/>
      <c r="CF180" s="420"/>
      <c r="CG180" s="420"/>
      <c r="CH180" s="420"/>
      <c r="CI180" s="421"/>
      <c r="CJ180" s="419" t="s">
        <v>307</v>
      </c>
      <c r="CK180" s="420"/>
      <c r="CL180" s="420"/>
      <c r="CM180" s="420"/>
      <c r="CN180" s="420"/>
      <c r="CO180" s="420"/>
      <c r="CP180" s="420"/>
      <c r="CQ180" s="420"/>
      <c r="CR180" s="420"/>
      <c r="CS180" s="420"/>
      <c r="CT180" s="420"/>
      <c r="CU180" s="420"/>
      <c r="CV180" s="420"/>
      <c r="CW180" s="420"/>
      <c r="CX180" s="420"/>
      <c r="CY180" s="420"/>
      <c r="CZ180" s="420"/>
      <c r="DA180" s="421"/>
    </row>
    <row r="181" spans="1:105" ht="12" customHeight="1">
      <c r="A181" s="416"/>
      <c r="B181" s="416"/>
      <c r="C181" s="416"/>
      <c r="D181" s="416"/>
      <c r="E181" s="416"/>
      <c r="F181" s="416"/>
      <c r="G181" s="416"/>
      <c r="H181" s="196">
        <v>1</v>
      </c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8"/>
      <c r="BD181" s="416">
        <v>2</v>
      </c>
      <c r="BE181" s="416"/>
      <c r="BF181" s="416"/>
      <c r="BG181" s="416"/>
      <c r="BH181" s="416"/>
      <c r="BI181" s="416"/>
      <c r="BJ181" s="416"/>
      <c r="BK181" s="416"/>
      <c r="BL181" s="416"/>
      <c r="BM181" s="416"/>
      <c r="BN181" s="416"/>
      <c r="BO181" s="416"/>
      <c r="BP181" s="416"/>
      <c r="BQ181" s="416"/>
      <c r="BR181" s="416"/>
      <c r="BS181" s="416"/>
      <c r="BT181" s="416">
        <v>3</v>
      </c>
      <c r="BU181" s="416"/>
      <c r="BV181" s="416"/>
      <c r="BW181" s="416"/>
      <c r="BX181" s="416"/>
      <c r="BY181" s="416"/>
      <c r="BZ181" s="416"/>
      <c r="CA181" s="416"/>
      <c r="CB181" s="416"/>
      <c r="CC181" s="416"/>
      <c r="CD181" s="416"/>
      <c r="CE181" s="416"/>
      <c r="CF181" s="416"/>
      <c r="CG181" s="416"/>
      <c r="CH181" s="416"/>
      <c r="CI181" s="416"/>
      <c r="CJ181" s="416">
        <v>4</v>
      </c>
      <c r="CK181" s="416"/>
      <c r="CL181" s="416"/>
      <c r="CM181" s="416"/>
      <c r="CN181" s="416"/>
      <c r="CO181" s="416"/>
      <c r="CP181" s="416"/>
      <c r="CQ181" s="416"/>
      <c r="CR181" s="416"/>
      <c r="CS181" s="416"/>
      <c r="CT181" s="416"/>
      <c r="CU181" s="416"/>
      <c r="CV181" s="416"/>
      <c r="CW181" s="416"/>
      <c r="CX181" s="416"/>
      <c r="CY181" s="416"/>
      <c r="CZ181" s="416"/>
      <c r="DA181" s="416"/>
    </row>
    <row r="182" spans="1:105" ht="12" customHeight="1">
      <c r="A182" s="407" t="s">
        <v>169</v>
      </c>
      <c r="B182" s="407"/>
      <c r="C182" s="407"/>
      <c r="D182" s="407"/>
      <c r="E182" s="407"/>
      <c r="F182" s="407"/>
      <c r="G182" s="407"/>
      <c r="H182" s="434" t="s">
        <v>475</v>
      </c>
      <c r="I182" s="435"/>
      <c r="J182" s="435"/>
      <c r="K182" s="435"/>
      <c r="L182" s="435"/>
      <c r="M182" s="435"/>
      <c r="N182" s="435"/>
      <c r="O182" s="435"/>
      <c r="P182" s="435"/>
      <c r="Q182" s="435"/>
      <c r="R182" s="435"/>
      <c r="S182" s="435"/>
      <c r="T182" s="435"/>
      <c r="U182" s="435"/>
      <c r="V182" s="435"/>
      <c r="W182" s="435"/>
      <c r="X182" s="435"/>
      <c r="Y182" s="435"/>
      <c r="Z182" s="435"/>
      <c r="AA182" s="435"/>
      <c r="AB182" s="435"/>
      <c r="AC182" s="435"/>
      <c r="AD182" s="435"/>
      <c r="AE182" s="435"/>
      <c r="AF182" s="435"/>
      <c r="AG182" s="435"/>
      <c r="AH182" s="435"/>
      <c r="AI182" s="435"/>
      <c r="AJ182" s="435"/>
      <c r="AK182" s="435"/>
      <c r="AL182" s="435"/>
      <c r="AM182" s="435"/>
      <c r="AN182" s="435"/>
      <c r="AO182" s="435"/>
      <c r="AP182" s="435"/>
      <c r="AQ182" s="435"/>
      <c r="AR182" s="435"/>
      <c r="AS182" s="435"/>
      <c r="AT182" s="435"/>
      <c r="AU182" s="435"/>
      <c r="AV182" s="435"/>
      <c r="AW182" s="435"/>
      <c r="AX182" s="435"/>
      <c r="AY182" s="435"/>
      <c r="AZ182" s="435"/>
      <c r="BA182" s="435"/>
      <c r="BB182" s="435"/>
      <c r="BC182" s="436"/>
      <c r="BD182" s="409"/>
      <c r="BE182" s="409"/>
      <c r="BF182" s="409"/>
      <c r="BG182" s="409"/>
      <c r="BH182" s="409"/>
      <c r="BI182" s="409"/>
      <c r="BJ182" s="409"/>
      <c r="BK182" s="409"/>
      <c r="BL182" s="409"/>
      <c r="BM182" s="409"/>
      <c r="BN182" s="409"/>
      <c r="BO182" s="409"/>
      <c r="BP182" s="409"/>
      <c r="BQ182" s="409"/>
      <c r="BR182" s="409"/>
      <c r="BS182" s="409"/>
      <c r="BT182" s="409"/>
      <c r="BU182" s="409"/>
      <c r="BV182" s="409"/>
      <c r="BW182" s="409"/>
      <c r="BX182" s="409"/>
      <c r="BY182" s="409"/>
      <c r="BZ182" s="409"/>
      <c r="CA182" s="409"/>
      <c r="CB182" s="409"/>
      <c r="CC182" s="409"/>
      <c r="CD182" s="409"/>
      <c r="CE182" s="409"/>
      <c r="CF182" s="409"/>
      <c r="CG182" s="409"/>
      <c r="CH182" s="409"/>
      <c r="CI182" s="409"/>
      <c r="CJ182" s="409"/>
      <c r="CK182" s="409"/>
      <c r="CL182" s="409"/>
      <c r="CM182" s="409"/>
      <c r="CN182" s="409"/>
      <c r="CO182" s="409"/>
      <c r="CP182" s="409"/>
      <c r="CQ182" s="409"/>
      <c r="CR182" s="409"/>
      <c r="CS182" s="409"/>
      <c r="CT182" s="409"/>
      <c r="CU182" s="409"/>
      <c r="CV182" s="409"/>
      <c r="CW182" s="409"/>
      <c r="CX182" s="409"/>
      <c r="CY182" s="409"/>
      <c r="CZ182" s="409"/>
      <c r="DA182" s="409"/>
    </row>
    <row r="183" spans="1:105" ht="12" customHeight="1">
      <c r="A183" s="407"/>
      <c r="B183" s="407"/>
      <c r="C183" s="407"/>
      <c r="D183" s="407"/>
      <c r="E183" s="407"/>
      <c r="F183" s="407"/>
      <c r="G183" s="407"/>
      <c r="H183" s="434" t="s">
        <v>476</v>
      </c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  <c r="AB183" s="435"/>
      <c r="AC183" s="435"/>
      <c r="AD183" s="435"/>
      <c r="AE183" s="435"/>
      <c r="AF183" s="435"/>
      <c r="AG183" s="435"/>
      <c r="AH183" s="435"/>
      <c r="AI183" s="435"/>
      <c r="AJ183" s="435"/>
      <c r="AK183" s="435"/>
      <c r="AL183" s="435"/>
      <c r="AM183" s="435"/>
      <c r="AN183" s="435"/>
      <c r="AO183" s="435"/>
      <c r="AP183" s="435"/>
      <c r="AQ183" s="435"/>
      <c r="AR183" s="435"/>
      <c r="AS183" s="435"/>
      <c r="AT183" s="435"/>
      <c r="AU183" s="435"/>
      <c r="AV183" s="435"/>
      <c r="AW183" s="435"/>
      <c r="AX183" s="435"/>
      <c r="AY183" s="435"/>
      <c r="AZ183" s="435"/>
      <c r="BA183" s="435"/>
      <c r="BB183" s="435"/>
      <c r="BC183" s="436"/>
      <c r="BD183" s="471">
        <v>9000</v>
      </c>
      <c r="BE183" s="471"/>
      <c r="BF183" s="471"/>
      <c r="BG183" s="471"/>
      <c r="BH183" s="471"/>
      <c r="BI183" s="471"/>
      <c r="BJ183" s="471"/>
      <c r="BK183" s="471"/>
      <c r="BL183" s="471"/>
      <c r="BM183" s="471"/>
      <c r="BN183" s="471"/>
      <c r="BO183" s="471"/>
      <c r="BP183" s="471"/>
      <c r="BQ183" s="471"/>
      <c r="BR183" s="471"/>
      <c r="BS183" s="471"/>
      <c r="BT183" s="505">
        <v>40.7</v>
      </c>
      <c r="BU183" s="505"/>
      <c r="BV183" s="505"/>
      <c r="BW183" s="505"/>
      <c r="BX183" s="505"/>
      <c r="BY183" s="505"/>
      <c r="BZ183" s="505"/>
      <c r="CA183" s="505"/>
      <c r="CB183" s="505"/>
      <c r="CC183" s="505"/>
      <c r="CD183" s="505"/>
      <c r="CE183" s="505"/>
      <c r="CF183" s="505"/>
      <c r="CG183" s="505"/>
      <c r="CH183" s="505"/>
      <c r="CI183" s="505"/>
      <c r="CJ183" s="471">
        <f aca="true" t="shared" si="0" ref="CJ183:CJ217">BD183*BT183</f>
        <v>366300</v>
      </c>
      <c r="CK183" s="471"/>
      <c r="CL183" s="471"/>
      <c r="CM183" s="471"/>
      <c r="CN183" s="471"/>
      <c r="CO183" s="471"/>
      <c r="CP183" s="471"/>
      <c r="CQ183" s="471"/>
      <c r="CR183" s="471"/>
      <c r="CS183" s="471"/>
      <c r="CT183" s="471"/>
      <c r="CU183" s="471"/>
      <c r="CV183" s="471"/>
      <c r="CW183" s="471"/>
      <c r="CX183" s="471"/>
      <c r="CY183" s="471"/>
      <c r="CZ183" s="471"/>
      <c r="DA183" s="471"/>
    </row>
    <row r="184" spans="1:105" ht="12" customHeight="1">
      <c r="A184" s="407"/>
      <c r="B184" s="407"/>
      <c r="C184" s="407"/>
      <c r="D184" s="407"/>
      <c r="E184" s="407"/>
      <c r="F184" s="407"/>
      <c r="G184" s="407"/>
      <c r="H184" s="434" t="s">
        <v>477</v>
      </c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5"/>
      <c r="AI184" s="435"/>
      <c r="AJ184" s="435"/>
      <c r="AK184" s="435"/>
      <c r="AL184" s="435"/>
      <c r="AM184" s="435"/>
      <c r="AN184" s="435"/>
      <c r="AO184" s="435"/>
      <c r="AP184" s="435"/>
      <c r="AQ184" s="435"/>
      <c r="AR184" s="435"/>
      <c r="AS184" s="435"/>
      <c r="AT184" s="435"/>
      <c r="AU184" s="435"/>
      <c r="AV184" s="435"/>
      <c r="AW184" s="435"/>
      <c r="AX184" s="435"/>
      <c r="AY184" s="435"/>
      <c r="AZ184" s="435"/>
      <c r="BA184" s="435"/>
      <c r="BB184" s="435"/>
      <c r="BC184" s="436"/>
      <c r="BD184" s="471">
        <v>10000</v>
      </c>
      <c r="BE184" s="471"/>
      <c r="BF184" s="471"/>
      <c r="BG184" s="471"/>
      <c r="BH184" s="471"/>
      <c r="BI184" s="471"/>
      <c r="BJ184" s="471"/>
      <c r="BK184" s="471"/>
      <c r="BL184" s="471"/>
      <c r="BM184" s="471"/>
      <c r="BN184" s="471"/>
      <c r="BO184" s="471"/>
      <c r="BP184" s="471"/>
      <c r="BQ184" s="471"/>
      <c r="BR184" s="471"/>
      <c r="BS184" s="471"/>
      <c r="BT184" s="505">
        <v>43.6</v>
      </c>
      <c r="BU184" s="505"/>
      <c r="BV184" s="505"/>
      <c r="BW184" s="505"/>
      <c r="BX184" s="505"/>
      <c r="BY184" s="505"/>
      <c r="BZ184" s="505"/>
      <c r="CA184" s="505"/>
      <c r="CB184" s="505"/>
      <c r="CC184" s="505"/>
      <c r="CD184" s="505"/>
      <c r="CE184" s="505"/>
      <c r="CF184" s="505"/>
      <c r="CG184" s="505"/>
      <c r="CH184" s="505"/>
      <c r="CI184" s="505"/>
      <c r="CJ184" s="471">
        <f t="shared" si="0"/>
        <v>436000</v>
      </c>
      <c r="CK184" s="471"/>
      <c r="CL184" s="471"/>
      <c r="CM184" s="471"/>
      <c r="CN184" s="471"/>
      <c r="CO184" s="471"/>
      <c r="CP184" s="471"/>
      <c r="CQ184" s="471"/>
      <c r="CR184" s="471"/>
      <c r="CS184" s="471"/>
      <c r="CT184" s="471"/>
      <c r="CU184" s="471"/>
      <c r="CV184" s="471"/>
      <c r="CW184" s="471"/>
      <c r="CX184" s="471"/>
      <c r="CY184" s="471"/>
      <c r="CZ184" s="471"/>
      <c r="DA184" s="471"/>
    </row>
    <row r="185" spans="1:105" ht="12" customHeight="1">
      <c r="A185" s="407"/>
      <c r="B185" s="407"/>
      <c r="C185" s="407"/>
      <c r="D185" s="407"/>
      <c r="E185" s="407"/>
      <c r="F185" s="407"/>
      <c r="G185" s="407"/>
      <c r="H185" s="434" t="s">
        <v>478</v>
      </c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35"/>
      <c r="AE185" s="435"/>
      <c r="AF185" s="435"/>
      <c r="AG185" s="435"/>
      <c r="AH185" s="435"/>
      <c r="AI185" s="435"/>
      <c r="AJ185" s="435"/>
      <c r="AK185" s="435"/>
      <c r="AL185" s="435"/>
      <c r="AM185" s="435"/>
      <c r="AN185" s="435"/>
      <c r="AO185" s="435"/>
      <c r="AP185" s="435"/>
      <c r="AQ185" s="435"/>
      <c r="AR185" s="435"/>
      <c r="AS185" s="435"/>
      <c r="AT185" s="435"/>
      <c r="AU185" s="435"/>
      <c r="AV185" s="435"/>
      <c r="AW185" s="435"/>
      <c r="AX185" s="435"/>
      <c r="AY185" s="435"/>
      <c r="AZ185" s="435"/>
      <c r="BA185" s="435"/>
      <c r="BB185" s="435"/>
      <c r="BC185" s="436"/>
      <c r="BD185" s="471">
        <v>10000</v>
      </c>
      <c r="BE185" s="471"/>
      <c r="BF185" s="471"/>
      <c r="BG185" s="471"/>
      <c r="BH185" s="471"/>
      <c r="BI185" s="471"/>
      <c r="BJ185" s="471"/>
      <c r="BK185" s="471"/>
      <c r="BL185" s="471"/>
      <c r="BM185" s="471"/>
      <c r="BN185" s="471"/>
      <c r="BO185" s="471"/>
      <c r="BP185" s="471"/>
      <c r="BQ185" s="471"/>
      <c r="BR185" s="471"/>
      <c r="BS185" s="471"/>
      <c r="BT185" s="505">
        <v>42.4</v>
      </c>
      <c r="BU185" s="505"/>
      <c r="BV185" s="505"/>
      <c r="BW185" s="505"/>
      <c r="BX185" s="505"/>
      <c r="BY185" s="505"/>
      <c r="BZ185" s="505"/>
      <c r="CA185" s="505"/>
      <c r="CB185" s="505"/>
      <c r="CC185" s="505"/>
      <c r="CD185" s="505"/>
      <c r="CE185" s="505"/>
      <c r="CF185" s="505"/>
      <c r="CG185" s="505"/>
      <c r="CH185" s="505"/>
      <c r="CI185" s="505"/>
      <c r="CJ185" s="471">
        <f t="shared" si="0"/>
        <v>424000</v>
      </c>
      <c r="CK185" s="471"/>
      <c r="CL185" s="471"/>
      <c r="CM185" s="471"/>
      <c r="CN185" s="471"/>
      <c r="CO185" s="471"/>
      <c r="CP185" s="471"/>
      <c r="CQ185" s="471"/>
      <c r="CR185" s="471"/>
      <c r="CS185" s="471"/>
      <c r="CT185" s="471"/>
      <c r="CU185" s="471"/>
      <c r="CV185" s="471"/>
      <c r="CW185" s="471"/>
      <c r="CX185" s="471"/>
      <c r="CY185" s="471"/>
      <c r="CZ185" s="471"/>
      <c r="DA185" s="471"/>
    </row>
    <row r="186" spans="1:105" ht="12" customHeight="1">
      <c r="A186" s="407" t="s">
        <v>37</v>
      </c>
      <c r="B186" s="407"/>
      <c r="C186" s="407"/>
      <c r="D186" s="407"/>
      <c r="E186" s="407"/>
      <c r="F186" s="407"/>
      <c r="G186" s="407"/>
      <c r="H186" s="434" t="s">
        <v>479</v>
      </c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35"/>
      <c r="AE186" s="435"/>
      <c r="AF186" s="435"/>
      <c r="AG186" s="435"/>
      <c r="AH186" s="435"/>
      <c r="AI186" s="435"/>
      <c r="AJ186" s="435"/>
      <c r="AK186" s="435"/>
      <c r="AL186" s="435"/>
      <c r="AM186" s="435"/>
      <c r="AN186" s="435"/>
      <c r="AO186" s="435"/>
      <c r="AP186" s="435"/>
      <c r="AQ186" s="435"/>
      <c r="AR186" s="435"/>
      <c r="AS186" s="435"/>
      <c r="AT186" s="435"/>
      <c r="AU186" s="435"/>
      <c r="AV186" s="435"/>
      <c r="AW186" s="435"/>
      <c r="AX186" s="435"/>
      <c r="AY186" s="435"/>
      <c r="AZ186" s="435"/>
      <c r="BA186" s="435"/>
      <c r="BB186" s="435"/>
      <c r="BC186" s="436"/>
      <c r="BD186" s="471">
        <v>1500</v>
      </c>
      <c r="BE186" s="471"/>
      <c r="BF186" s="471"/>
      <c r="BG186" s="471"/>
      <c r="BH186" s="471"/>
      <c r="BI186" s="471"/>
      <c r="BJ186" s="471"/>
      <c r="BK186" s="471"/>
      <c r="BL186" s="471"/>
      <c r="BM186" s="471"/>
      <c r="BN186" s="471"/>
      <c r="BO186" s="471"/>
      <c r="BP186" s="471"/>
      <c r="BQ186" s="471"/>
      <c r="BR186" s="471"/>
      <c r="BS186" s="471"/>
      <c r="BT186" s="505">
        <v>247.74</v>
      </c>
      <c r="BU186" s="505"/>
      <c r="BV186" s="505"/>
      <c r="BW186" s="505"/>
      <c r="BX186" s="505"/>
      <c r="BY186" s="505"/>
      <c r="BZ186" s="505"/>
      <c r="CA186" s="505"/>
      <c r="CB186" s="505"/>
      <c r="CC186" s="505"/>
      <c r="CD186" s="505"/>
      <c r="CE186" s="505"/>
      <c r="CF186" s="505"/>
      <c r="CG186" s="505"/>
      <c r="CH186" s="505"/>
      <c r="CI186" s="505"/>
      <c r="CJ186" s="471">
        <f t="shared" si="0"/>
        <v>371610</v>
      </c>
      <c r="CK186" s="471"/>
      <c r="CL186" s="471"/>
      <c r="CM186" s="471"/>
      <c r="CN186" s="471"/>
      <c r="CO186" s="471"/>
      <c r="CP186" s="471"/>
      <c r="CQ186" s="471"/>
      <c r="CR186" s="471"/>
      <c r="CS186" s="471"/>
      <c r="CT186" s="471"/>
      <c r="CU186" s="471"/>
      <c r="CV186" s="471"/>
      <c r="CW186" s="471"/>
      <c r="CX186" s="471"/>
      <c r="CY186" s="471"/>
      <c r="CZ186" s="471"/>
      <c r="DA186" s="471"/>
    </row>
    <row r="187" spans="1:105" ht="12" customHeight="1">
      <c r="A187" s="407" t="s">
        <v>38</v>
      </c>
      <c r="B187" s="407"/>
      <c r="C187" s="407"/>
      <c r="D187" s="407"/>
      <c r="E187" s="407"/>
      <c r="F187" s="407"/>
      <c r="G187" s="407"/>
      <c r="H187" s="434" t="s">
        <v>480</v>
      </c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35"/>
      <c r="AE187" s="435"/>
      <c r="AF187" s="435"/>
      <c r="AG187" s="435"/>
      <c r="AH187" s="435"/>
      <c r="AI187" s="435"/>
      <c r="AJ187" s="435"/>
      <c r="AK187" s="435"/>
      <c r="AL187" s="435"/>
      <c r="AM187" s="435"/>
      <c r="AN187" s="435"/>
      <c r="AO187" s="435"/>
      <c r="AP187" s="435"/>
      <c r="AQ187" s="435"/>
      <c r="AR187" s="435"/>
      <c r="AS187" s="435"/>
      <c r="AT187" s="435"/>
      <c r="AU187" s="435"/>
      <c r="AV187" s="435"/>
      <c r="AW187" s="435"/>
      <c r="AX187" s="435"/>
      <c r="AY187" s="435"/>
      <c r="AZ187" s="435"/>
      <c r="BA187" s="435"/>
      <c r="BB187" s="435"/>
      <c r="BC187" s="436"/>
      <c r="BD187" s="471">
        <v>60</v>
      </c>
      <c r="BE187" s="471"/>
      <c r="BF187" s="471"/>
      <c r="BG187" s="471"/>
      <c r="BH187" s="471"/>
      <c r="BI187" s="471"/>
      <c r="BJ187" s="471"/>
      <c r="BK187" s="471"/>
      <c r="BL187" s="471"/>
      <c r="BM187" s="471"/>
      <c r="BN187" s="471"/>
      <c r="BO187" s="471"/>
      <c r="BP187" s="471"/>
      <c r="BQ187" s="471"/>
      <c r="BR187" s="471"/>
      <c r="BS187" s="471"/>
      <c r="BT187" s="505">
        <v>8835</v>
      </c>
      <c r="BU187" s="505"/>
      <c r="BV187" s="505"/>
      <c r="BW187" s="505"/>
      <c r="BX187" s="505"/>
      <c r="BY187" s="505"/>
      <c r="BZ187" s="505"/>
      <c r="CA187" s="505"/>
      <c r="CB187" s="505"/>
      <c r="CC187" s="505"/>
      <c r="CD187" s="505"/>
      <c r="CE187" s="505"/>
      <c r="CF187" s="505"/>
      <c r="CG187" s="505"/>
      <c r="CH187" s="505"/>
      <c r="CI187" s="505"/>
      <c r="CJ187" s="471">
        <f t="shared" si="0"/>
        <v>530100</v>
      </c>
      <c r="CK187" s="471"/>
      <c r="CL187" s="471"/>
      <c r="CM187" s="471"/>
      <c r="CN187" s="471"/>
      <c r="CO187" s="471"/>
      <c r="CP187" s="471"/>
      <c r="CQ187" s="471"/>
      <c r="CR187" s="471"/>
      <c r="CS187" s="471"/>
      <c r="CT187" s="471"/>
      <c r="CU187" s="471"/>
      <c r="CV187" s="471"/>
      <c r="CW187" s="471"/>
      <c r="CX187" s="471"/>
      <c r="CY187" s="471"/>
      <c r="CZ187" s="471"/>
      <c r="DA187" s="471"/>
    </row>
    <row r="188" spans="1:105" ht="12" customHeight="1">
      <c r="A188" s="407" t="s">
        <v>319</v>
      </c>
      <c r="B188" s="407"/>
      <c r="C188" s="407"/>
      <c r="D188" s="407"/>
      <c r="E188" s="407"/>
      <c r="F188" s="407"/>
      <c r="G188" s="407"/>
      <c r="H188" s="434" t="s">
        <v>481</v>
      </c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  <c r="AA188" s="435"/>
      <c r="AB188" s="435"/>
      <c r="AC188" s="435"/>
      <c r="AD188" s="435"/>
      <c r="AE188" s="435"/>
      <c r="AF188" s="435"/>
      <c r="AG188" s="435"/>
      <c r="AH188" s="435"/>
      <c r="AI188" s="435"/>
      <c r="AJ188" s="435"/>
      <c r="AK188" s="435"/>
      <c r="AL188" s="435"/>
      <c r="AM188" s="435"/>
      <c r="AN188" s="435"/>
      <c r="AO188" s="435"/>
      <c r="AP188" s="435"/>
      <c r="AQ188" s="435"/>
      <c r="AR188" s="435"/>
      <c r="AS188" s="435"/>
      <c r="AT188" s="435"/>
      <c r="AU188" s="435"/>
      <c r="AV188" s="435"/>
      <c r="AW188" s="435"/>
      <c r="AX188" s="435"/>
      <c r="AY188" s="435"/>
      <c r="AZ188" s="435"/>
      <c r="BA188" s="435"/>
      <c r="BB188" s="435"/>
      <c r="BC188" s="436"/>
      <c r="BD188" s="471">
        <v>400</v>
      </c>
      <c r="BE188" s="471"/>
      <c r="BF188" s="471"/>
      <c r="BG188" s="471"/>
      <c r="BH188" s="471"/>
      <c r="BI188" s="471"/>
      <c r="BJ188" s="471"/>
      <c r="BK188" s="471"/>
      <c r="BL188" s="471"/>
      <c r="BM188" s="471"/>
      <c r="BN188" s="471"/>
      <c r="BO188" s="471"/>
      <c r="BP188" s="471"/>
      <c r="BQ188" s="471"/>
      <c r="BR188" s="471"/>
      <c r="BS188" s="471"/>
      <c r="BT188" s="505">
        <v>1350</v>
      </c>
      <c r="BU188" s="505"/>
      <c r="BV188" s="505"/>
      <c r="BW188" s="505"/>
      <c r="BX188" s="505"/>
      <c r="BY188" s="505"/>
      <c r="BZ188" s="505"/>
      <c r="CA188" s="505"/>
      <c r="CB188" s="505"/>
      <c r="CC188" s="505"/>
      <c r="CD188" s="505"/>
      <c r="CE188" s="505"/>
      <c r="CF188" s="505"/>
      <c r="CG188" s="505"/>
      <c r="CH188" s="505"/>
      <c r="CI188" s="505"/>
      <c r="CJ188" s="471">
        <f t="shared" si="0"/>
        <v>540000</v>
      </c>
      <c r="CK188" s="471"/>
      <c r="CL188" s="471"/>
      <c r="CM188" s="471"/>
      <c r="CN188" s="471"/>
      <c r="CO188" s="471"/>
      <c r="CP188" s="471"/>
      <c r="CQ188" s="471"/>
      <c r="CR188" s="471"/>
      <c r="CS188" s="471"/>
      <c r="CT188" s="471"/>
      <c r="CU188" s="471"/>
      <c r="CV188" s="471"/>
      <c r="CW188" s="471"/>
      <c r="CX188" s="471"/>
      <c r="CY188" s="471"/>
      <c r="CZ188" s="471"/>
      <c r="DA188" s="471"/>
    </row>
    <row r="189" spans="1:105" ht="12" customHeight="1">
      <c r="A189" s="407" t="s">
        <v>320</v>
      </c>
      <c r="B189" s="407"/>
      <c r="C189" s="407"/>
      <c r="D189" s="407"/>
      <c r="E189" s="407"/>
      <c r="F189" s="407"/>
      <c r="G189" s="407"/>
      <c r="H189" s="434" t="s">
        <v>482</v>
      </c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  <c r="AB189" s="435"/>
      <c r="AC189" s="435"/>
      <c r="AD189" s="435"/>
      <c r="AE189" s="435"/>
      <c r="AF189" s="435"/>
      <c r="AG189" s="435"/>
      <c r="AH189" s="435"/>
      <c r="AI189" s="435"/>
      <c r="AJ189" s="435"/>
      <c r="AK189" s="435"/>
      <c r="AL189" s="435"/>
      <c r="AM189" s="435"/>
      <c r="AN189" s="435"/>
      <c r="AO189" s="435"/>
      <c r="AP189" s="435"/>
      <c r="AQ189" s="435"/>
      <c r="AR189" s="435"/>
      <c r="AS189" s="435"/>
      <c r="AT189" s="435"/>
      <c r="AU189" s="435"/>
      <c r="AV189" s="435"/>
      <c r="AW189" s="435"/>
      <c r="AX189" s="435"/>
      <c r="AY189" s="435"/>
      <c r="AZ189" s="435"/>
      <c r="BA189" s="435"/>
      <c r="BB189" s="435"/>
      <c r="BC189" s="436"/>
      <c r="BD189" s="471">
        <v>150</v>
      </c>
      <c r="BE189" s="471"/>
      <c r="BF189" s="471"/>
      <c r="BG189" s="471"/>
      <c r="BH189" s="471"/>
      <c r="BI189" s="471"/>
      <c r="BJ189" s="471"/>
      <c r="BK189" s="471"/>
      <c r="BL189" s="471"/>
      <c r="BM189" s="471"/>
      <c r="BN189" s="471"/>
      <c r="BO189" s="471"/>
      <c r="BP189" s="471"/>
      <c r="BQ189" s="471"/>
      <c r="BR189" s="471"/>
      <c r="BS189" s="471"/>
      <c r="BT189" s="505">
        <v>704.5</v>
      </c>
      <c r="BU189" s="505"/>
      <c r="BV189" s="505"/>
      <c r="BW189" s="505"/>
      <c r="BX189" s="505"/>
      <c r="BY189" s="505"/>
      <c r="BZ189" s="505"/>
      <c r="CA189" s="505"/>
      <c r="CB189" s="505"/>
      <c r="CC189" s="505"/>
      <c r="CD189" s="505"/>
      <c r="CE189" s="505"/>
      <c r="CF189" s="505"/>
      <c r="CG189" s="505"/>
      <c r="CH189" s="505"/>
      <c r="CI189" s="505"/>
      <c r="CJ189" s="471">
        <f t="shared" si="0"/>
        <v>105675</v>
      </c>
      <c r="CK189" s="471"/>
      <c r="CL189" s="471"/>
      <c r="CM189" s="471"/>
      <c r="CN189" s="471"/>
      <c r="CO189" s="471"/>
      <c r="CP189" s="471"/>
      <c r="CQ189" s="471"/>
      <c r="CR189" s="471"/>
      <c r="CS189" s="471"/>
      <c r="CT189" s="471"/>
      <c r="CU189" s="471"/>
      <c r="CV189" s="471"/>
      <c r="CW189" s="471"/>
      <c r="CX189" s="471"/>
      <c r="CY189" s="471"/>
      <c r="CZ189" s="471"/>
      <c r="DA189" s="471"/>
    </row>
    <row r="190" spans="1:105" ht="12" customHeight="1">
      <c r="A190" s="407" t="s">
        <v>321</v>
      </c>
      <c r="B190" s="407"/>
      <c r="C190" s="407"/>
      <c r="D190" s="407"/>
      <c r="E190" s="407"/>
      <c r="F190" s="407"/>
      <c r="G190" s="407"/>
      <c r="H190" s="434" t="s">
        <v>483</v>
      </c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435"/>
      <c r="AV190" s="435"/>
      <c r="AW190" s="435"/>
      <c r="AX190" s="435"/>
      <c r="AY190" s="435"/>
      <c r="AZ190" s="435"/>
      <c r="BA190" s="435"/>
      <c r="BB190" s="435"/>
      <c r="BC190" s="436"/>
      <c r="BD190" s="471">
        <v>6500</v>
      </c>
      <c r="BE190" s="471"/>
      <c r="BF190" s="471"/>
      <c r="BG190" s="471"/>
      <c r="BH190" s="471"/>
      <c r="BI190" s="471"/>
      <c r="BJ190" s="471"/>
      <c r="BK190" s="471"/>
      <c r="BL190" s="471"/>
      <c r="BM190" s="471"/>
      <c r="BN190" s="471"/>
      <c r="BO190" s="471"/>
      <c r="BP190" s="471"/>
      <c r="BQ190" s="471"/>
      <c r="BR190" s="471"/>
      <c r="BS190" s="471"/>
      <c r="BT190" s="505">
        <v>54.13</v>
      </c>
      <c r="BU190" s="505"/>
      <c r="BV190" s="505"/>
      <c r="BW190" s="505"/>
      <c r="BX190" s="505"/>
      <c r="BY190" s="505"/>
      <c r="BZ190" s="505"/>
      <c r="CA190" s="505"/>
      <c r="CB190" s="505"/>
      <c r="CC190" s="505"/>
      <c r="CD190" s="505"/>
      <c r="CE190" s="505"/>
      <c r="CF190" s="505"/>
      <c r="CG190" s="505"/>
      <c r="CH190" s="505"/>
      <c r="CI190" s="505"/>
      <c r="CJ190" s="471">
        <f t="shared" si="0"/>
        <v>351845</v>
      </c>
      <c r="CK190" s="471"/>
      <c r="CL190" s="471"/>
      <c r="CM190" s="471"/>
      <c r="CN190" s="471"/>
      <c r="CO190" s="471"/>
      <c r="CP190" s="471"/>
      <c r="CQ190" s="471"/>
      <c r="CR190" s="471"/>
      <c r="CS190" s="471"/>
      <c r="CT190" s="471"/>
      <c r="CU190" s="471"/>
      <c r="CV190" s="471"/>
      <c r="CW190" s="471"/>
      <c r="CX190" s="471"/>
      <c r="CY190" s="471"/>
      <c r="CZ190" s="471"/>
      <c r="DA190" s="471"/>
    </row>
    <row r="191" spans="1:105" ht="12" customHeight="1">
      <c r="A191" s="407" t="s">
        <v>322</v>
      </c>
      <c r="B191" s="407"/>
      <c r="C191" s="407"/>
      <c r="D191" s="407"/>
      <c r="E191" s="407"/>
      <c r="F191" s="407"/>
      <c r="G191" s="407"/>
      <c r="H191" s="434" t="s">
        <v>484</v>
      </c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  <c r="AB191" s="435"/>
      <c r="AC191" s="435"/>
      <c r="AD191" s="435"/>
      <c r="AE191" s="435"/>
      <c r="AF191" s="435"/>
      <c r="AG191" s="435"/>
      <c r="AH191" s="435"/>
      <c r="AI191" s="435"/>
      <c r="AJ191" s="435"/>
      <c r="AK191" s="435"/>
      <c r="AL191" s="435"/>
      <c r="AM191" s="435"/>
      <c r="AN191" s="435"/>
      <c r="AO191" s="435"/>
      <c r="AP191" s="435"/>
      <c r="AQ191" s="435"/>
      <c r="AR191" s="435"/>
      <c r="AS191" s="435"/>
      <c r="AT191" s="435"/>
      <c r="AU191" s="435"/>
      <c r="AV191" s="435"/>
      <c r="AW191" s="435"/>
      <c r="AX191" s="435"/>
      <c r="AY191" s="435"/>
      <c r="AZ191" s="435"/>
      <c r="BA191" s="435"/>
      <c r="BB191" s="435"/>
      <c r="BC191" s="436"/>
      <c r="BD191" s="471">
        <v>550</v>
      </c>
      <c r="BE191" s="471"/>
      <c r="BF191" s="471"/>
      <c r="BG191" s="471"/>
      <c r="BH191" s="471"/>
      <c r="BI191" s="471"/>
      <c r="BJ191" s="471"/>
      <c r="BK191" s="471"/>
      <c r="BL191" s="471"/>
      <c r="BM191" s="471"/>
      <c r="BN191" s="471"/>
      <c r="BO191" s="471"/>
      <c r="BP191" s="471"/>
      <c r="BQ191" s="471"/>
      <c r="BR191" s="471"/>
      <c r="BS191" s="471"/>
      <c r="BT191" s="505">
        <v>1043.48</v>
      </c>
      <c r="BU191" s="505"/>
      <c r="BV191" s="505"/>
      <c r="BW191" s="505"/>
      <c r="BX191" s="505"/>
      <c r="BY191" s="505"/>
      <c r="BZ191" s="505"/>
      <c r="CA191" s="505"/>
      <c r="CB191" s="505"/>
      <c r="CC191" s="505"/>
      <c r="CD191" s="505"/>
      <c r="CE191" s="505"/>
      <c r="CF191" s="505"/>
      <c r="CG191" s="505"/>
      <c r="CH191" s="505"/>
      <c r="CI191" s="505"/>
      <c r="CJ191" s="471">
        <f t="shared" si="0"/>
        <v>573914</v>
      </c>
      <c r="CK191" s="471"/>
      <c r="CL191" s="471"/>
      <c r="CM191" s="471"/>
      <c r="CN191" s="471"/>
      <c r="CO191" s="471"/>
      <c r="CP191" s="471"/>
      <c r="CQ191" s="471"/>
      <c r="CR191" s="471"/>
      <c r="CS191" s="471"/>
      <c r="CT191" s="471"/>
      <c r="CU191" s="471"/>
      <c r="CV191" s="471"/>
      <c r="CW191" s="471"/>
      <c r="CX191" s="471"/>
      <c r="CY191" s="471"/>
      <c r="CZ191" s="471"/>
      <c r="DA191" s="471"/>
    </row>
    <row r="192" spans="1:105" ht="12" customHeight="1">
      <c r="A192" s="407" t="s">
        <v>323</v>
      </c>
      <c r="B192" s="407"/>
      <c r="C192" s="407"/>
      <c r="D192" s="407"/>
      <c r="E192" s="407"/>
      <c r="F192" s="407"/>
      <c r="G192" s="407"/>
      <c r="H192" s="434" t="s">
        <v>485</v>
      </c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  <c r="AZ192" s="435"/>
      <c r="BA192" s="435"/>
      <c r="BB192" s="435"/>
      <c r="BC192" s="436"/>
      <c r="BD192" s="471">
        <v>555</v>
      </c>
      <c r="BE192" s="471"/>
      <c r="BF192" s="471"/>
      <c r="BG192" s="471"/>
      <c r="BH192" s="471"/>
      <c r="BI192" s="471"/>
      <c r="BJ192" s="471"/>
      <c r="BK192" s="471"/>
      <c r="BL192" s="471"/>
      <c r="BM192" s="471"/>
      <c r="BN192" s="471"/>
      <c r="BO192" s="471"/>
      <c r="BP192" s="471"/>
      <c r="BQ192" s="471"/>
      <c r="BR192" s="471"/>
      <c r="BS192" s="471"/>
      <c r="BT192" s="471">
        <v>551.35</v>
      </c>
      <c r="BU192" s="471"/>
      <c r="BV192" s="471"/>
      <c r="BW192" s="471"/>
      <c r="BX192" s="471"/>
      <c r="BY192" s="471"/>
      <c r="BZ192" s="471"/>
      <c r="CA192" s="471"/>
      <c r="CB192" s="471"/>
      <c r="CC192" s="471"/>
      <c r="CD192" s="471"/>
      <c r="CE192" s="471"/>
      <c r="CF192" s="471"/>
      <c r="CG192" s="471"/>
      <c r="CH192" s="471"/>
      <c r="CI192" s="471"/>
      <c r="CJ192" s="471">
        <f t="shared" si="0"/>
        <v>305999.25</v>
      </c>
      <c r="CK192" s="471"/>
      <c r="CL192" s="471"/>
      <c r="CM192" s="471"/>
      <c r="CN192" s="471"/>
      <c r="CO192" s="471"/>
      <c r="CP192" s="471"/>
      <c r="CQ192" s="471"/>
      <c r="CR192" s="471"/>
      <c r="CS192" s="471"/>
      <c r="CT192" s="471"/>
      <c r="CU192" s="471"/>
      <c r="CV192" s="471"/>
      <c r="CW192" s="471"/>
      <c r="CX192" s="471"/>
      <c r="CY192" s="471"/>
      <c r="CZ192" s="471"/>
      <c r="DA192" s="471"/>
    </row>
    <row r="193" spans="1:105" ht="12" customHeight="1">
      <c r="A193" s="407" t="s">
        <v>324</v>
      </c>
      <c r="B193" s="407"/>
      <c r="C193" s="407"/>
      <c r="D193" s="407"/>
      <c r="E193" s="407"/>
      <c r="F193" s="407"/>
      <c r="G193" s="407"/>
      <c r="H193" s="434" t="s">
        <v>486</v>
      </c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  <c r="AA193" s="435"/>
      <c r="AB193" s="435"/>
      <c r="AC193" s="435"/>
      <c r="AD193" s="435"/>
      <c r="AE193" s="435"/>
      <c r="AF193" s="435"/>
      <c r="AG193" s="435"/>
      <c r="AH193" s="435"/>
      <c r="AI193" s="435"/>
      <c r="AJ193" s="435"/>
      <c r="AK193" s="435"/>
      <c r="AL193" s="435"/>
      <c r="AM193" s="435"/>
      <c r="AN193" s="435"/>
      <c r="AO193" s="435"/>
      <c r="AP193" s="435"/>
      <c r="AQ193" s="435"/>
      <c r="AR193" s="435"/>
      <c r="AS193" s="435"/>
      <c r="AT193" s="435"/>
      <c r="AU193" s="435"/>
      <c r="AV193" s="435"/>
      <c r="AW193" s="435"/>
      <c r="AX193" s="435"/>
      <c r="AY193" s="435"/>
      <c r="AZ193" s="435"/>
      <c r="BA193" s="435"/>
      <c r="BB193" s="435"/>
      <c r="BC193" s="436"/>
      <c r="BD193" s="471">
        <v>73</v>
      </c>
      <c r="BE193" s="471"/>
      <c r="BF193" s="471"/>
      <c r="BG193" s="471"/>
      <c r="BH193" s="471"/>
      <c r="BI193" s="471"/>
      <c r="BJ193" s="471"/>
      <c r="BK193" s="471"/>
      <c r="BL193" s="471"/>
      <c r="BM193" s="471"/>
      <c r="BN193" s="471"/>
      <c r="BO193" s="471"/>
      <c r="BP193" s="471"/>
      <c r="BQ193" s="471"/>
      <c r="BR193" s="471"/>
      <c r="BS193" s="471"/>
      <c r="BT193" s="471">
        <v>6369.86</v>
      </c>
      <c r="BU193" s="471"/>
      <c r="BV193" s="471"/>
      <c r="BW193" s="471"/>
      <c r="BX193" s="471"/>
      <c r="BY193" s="471"/>
      <c r="BZ193" s="471"/>
      <c r="CA193" s="471"/>
      <c r="CB193" s="471"/>
      <c r="CC193" s="471"/>
      <c r="CD193" s="471"/>
      <c r="CE193" s="471"/>
      <c r="CF193" s="471"/>
      <c r="CG193" s="471"/>
      <c r="CH193" s="471"/>
      <c r="CI193" s="471"/>
      <c r="CJ193" s="471">
        <f t="shared" si="0"/>
        <v>464999.78</v>
      </c>
      <c r="CK193" s="471"/>
      <c r="CL193" s="471"/>
      <c r="CM193" s="471"/>
      <c r="CN193" s="471"/>
      <c r="CO193" s="471"/>
      <c r="CP193" s="471"/>
      <c r="CQ193" s="471"/>
      <c r="CR193" s="471"/>
      <c r="CS193" s="471"/>
      <c r="CT193" s="471"/>
      <c r="CU193" s="471"/>
      <c r="CV193" s="471"/>
      <c r="CW193" s="471"/>
      <c r="CX193" s="471"/>
      <c r="CY193" s="471"/>
      <c r="CZ193" s="471"/>
      <c r="DA193" s="471"/>
    </row>
    <row r="194" spans="1:105" ht="12" customHeight="1">
      <c r="A194" s="407" t="s">
        <v>325</v>
      </c>
      <c r="B194" s="407"/>
      <c r="C194" s="407"/>
      <c r="D194" s="407"/>
      <c r="E194" s="407"/>
      <c r="F194" s="407"/>
      <c r="G194" s="407"/>
      <c r="H194" s="434" t="s">
        <v>487</v>
      </c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6"/>
      <c r="BD194" s="471">
        <v>115</v>
      </c>
      <c r="BE194" s="471"/>
      <c r="BF194" s="471"/>
      <c r="BG194" s="471"/>
      <c r="BH194" s="471"/>
      <c r="BI194" s="471"/>
      <c r="BJ194" s="471"/>
      <c r="BK194" s="471"/>
      <c r="BL194" s="471"/>
      <c r="BM194" s="471"/>
      <c r="BN194" s="471"/>
      <c r="BO194" s="471"/>
      <c r="BP194" s="471"/>
      <c r="BQ194" s="471"/>
      <c r="BR194" s="471"/>
      <c r="BS194" s="471"/>
      <c r="BT194" s="471">
        <v>3500</v>
      </c>
      <c r="BU194" s="471"/>
      <c r="BV194" s="471"/>
      <c r="BW194" s="471"/>
      <c r="BX194" s="471"/>
      <c r="BY194" s="471"/>
      <c r="BZ194" s="471"/>
      <c r="CA194" s="471"/>
      <c r="CB194" s="471"/>
      <c r="CC194" s="471"/>
      <c r="CD194" s="471"/>
      <c r="CE194" s="471"/>
      <c r="CF194" s="471"/>
      <c r="CG194" s="471"/>
      <c r="CH194" s="471"/>
      <c r="CI194" s="471"/>
      <c r="CJ194" s="471">
        <f t="shared" si="0"/>
        <v>402500</v>
      </c>
      <c r="CK194" s="471"/>
      <c r="CL194" s="471"/>
      <c r="CM194" s="471"/>
      <c r="CN194" s="471"/>
      <c r="CO194" s="471"/>
      <c r="CP194" s="471"/>
      <c r="CQ194" s="471"/>
      <c r="CR194" s="471"/>
      <c r="CS194" s="471"/>
      <c r="CT194" s="471"/>
      <c r="CU194" s="471"/>
      <c r="CV194" s="471"/>
      <c r="CW194" s="471"/>
      <c r="CX194" s="471"/>
      <c r="CY194" s="471"/>
      <c r="CZ194" s="471"/>
      <c r="DA194" s="471"/>
    </row>
    <row r="195" spans="1:105" ht="12" customHeight="1">
      <c r="A195" s="407" t="s">
        <v>326</v>
      </c>
      <c r="B195" s="407"/>
      <c r="C195" s="407"/>
      <c r="D195" s="407"/>
      <c r="E195" s="407"/>
      <c r="F195" s="407"/>
      <c r="G195" s="407"/>
      <c r="H195" s="434" t="s">
        <v>488</v>
      </c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  <c r="AA195" s="435"/>
      <c r="AB195" s="435"/>
      <c r="AC195" s="435"/>
      <c r="AD195" s="435"/>
      <c r="AE195" s="435"/>
      <c r="AF195" s="435"/>
      <c r="AG195" s="435"/>
      <c r="AH195" s="435"/>
      <c r="AI195" s="435"/>
      <c r="AJ195" s="435"/>
      <c r="AK195" s="435"/>
      <c r="AL195" s="435"/>
      <c r="AM195" s="435"/>
      <c r="AN195" s="435"/>
      <c r="AO195" s="435"/>
      <c r="AP195" s="435"/>
      <c r="AQ195" s="435"/>
      <c r="AR195" s="435"/>
      <c r="AS195" s="435"/>
      <c r="AT195" s="435"/>
      <c r="AU195" s="435"/>
      <c r="AV195" s="435"/>
      <c r="AW195" s="435"/>
      <c r="AX195" s="435"/>
      <c r="AY195" s="435"/>
      <c r="AZ195" s="435"/>
      <c r="BA195" s="435"/>
      <c r="BB195" s="435"/>
      <c r="BC195" s="436"/>
      <c r="BD195" s="471">
        <v>150</v>
      </c>
      <c r="BE195" s="471"/>
      <c r="BF195" s="471"/>
      <c r="BG195" s="471"/>
      <c r="BH195" s="471"/>
      <c r="BI195" s="471"/>
      <c r="BJ195" s="471"/>
      <c r="BK195" s="471"/>
      <c r="BL195" s="471"/>
      <c r="BM195" s="471"/>
      <c r="BN195" s="471"/>
      <c r="BO195" s="471"/>
      <c r="BP195" s="471"/>
      <c r="BQ195" s="471"/>
      <c r="BR195" s="471"/>
      <c r="BS195" s="471"/>
      <c r="BT195" s="471">
        <v>3000</v>
      </c>
      <c r="BU195" s="471"/>
      <c r="BV195" s="471"/>
      <c r="BW195" s="471"/>
      <c r="BX195" s="471"/>
      <c r="BY195" s="471"/>
      <c r="BZ195" s="471"/>
      <c r="CA195" s="471"/>
      <c r="CB195" s="471"/>
      <c r="CC195" s="471"/>
      <c r="CD195" s="471"/>
      <c r="CE195" s="471"/>
      <c r="CF195" s="471"/>
      <c r="CG195" s="471"/>
      <c r="CH195" s="471"/>
      <c r="CI195" s="471"/>
      <c r="CJ195" s="471">
        <f t="shared" si="0"/>
        <v>450000</v>
      </c>
      <c r="CK195" s="471"/>
      <c r="CL195" s="471"/>
      <c r="CM195" s="471"/>
      <c r="CN195" s="471"/>
      <c r="CO195" s="471"/>
      <c r="CP195" s="471"/>
      <c r="CQ195" s="471"/>
      <c r="CR195" s="471"/>
      <c r="CS195" s="471"/>
      <c r="CT195" s="471"/>
      <c r="CU195" s="471"/>
      <c r="CV195" s="471"/>
      <c r="CW195" s="471"/>
      <c r="CX195" s="471"/>
      <c r="CY195" s="471"/>
      <c r="CZ195" s="471"/>
      <c r="DA195" s="471"/>
    </row>
    <row r="196" spans="1:105" ht="12" customHeight="1">
      <c r="A196" s="407" t="s">
        <v>327</v>
      </c>
      <c r="B196" s="407"/>
      <c r="C196" s="407"/>
      <c r="D196" s="407"/>
      <c r="E196" s="407"/>
      <c r="F196" s="407"/>
      <c r="G196" s="407"/>
      <c r="H196" s="434" t="s">
        <v>489</v>
      </c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  <c r="AA196" s="435"/>
      <c r="AB196" s="435"/>
      <c r="AC196" s="435"/>
      <c r="AD196" s="435"/>
      <c r="AE196" s="435"/>
      <c r="AF196" s="435"/>
      <c r="AG196" s="435"/>
      <c r="AH196" s="435"/>
      <c r="AI196" s="435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435"/>
      <c r="AV196" s="435"/>
      <c r="AW196" s="435"/>
      <c r="AX196" s="435"/>
      <c r="AY196" s="435"/>
      <c r="AZ196" s="435"/>
      <c r="BA196" s="435"/>
      <c r="BB196" s="435"/>
      <c r="BC196" s="436"/>
      <c r="BD196" s="471">
        <v>1100</v>
      </c>
      <c r="BE196" s="471"/>
      <c r="BF196" s="471"/>
      <c r="BG196" s="471"/>
      <c r="BH196" s="471"/>
      <c r="BI196" s="471"/>
      <c r="BJ196" s="471"/>
      <c r="BK196" s="471"/>
      <c r="BL196" s="471"/>
      <c r="BM196" s="471"/>
      <c r="BN196" s="471"/>
      <c r="BO196" s="471"/>
      <c r="BP196" s="471"/>
      <c r="BQ196" s="471"/>
      <c r="BR196" s="471"/>
      <c r="BS196" s="471"/>
      <c r="BT196" s="471">
        <v>338.13</v>
      </c>
      <c r="BU196" s="471"/>
      <c r="BV196" s="471"/>
      <c r="BW196" s="471"/>
      <c r="BX196" s="471"/>
      <c r="BY196" s="471"/>
      <c r="BZ196" s="471"/>
      <c r="CA196" s="471"/>
      <c r="CB196" s="471"/>
      <c r="CC196" s="471"/>
      <c r="CD196" s="471"/>
      <c r="CE196" s="471"/>
      <c r="CF196" s="471"/>
      <c r="CG196" s="471"/>
      <c r="CH196" s="471"/>
      <c r="CI196" s="471"/>
      <c r="CJ196" s="471">
        <f t="shared" si="0"/>
        <v>371943</v>
      </c>
      <c r="CK196" s="471"/>
      <c r="CL196" s="471"/>
      <c r="CM196" s="471"/>
      <c r="CN196" s="471"/>
      <c r="CO196" s="471"/>
      <c r="CP196" s="471"/>
      <c r="CQ196" s="471"/>
      <c r="CR196" s="471"/>
      <c r="CS196" s="471"/>
      <c r="CT196" s="471"/>
      <c r="CU196" s="471"/>
      <c r="CV196" s="471"/>
      <c r="CW196" s="471"/>
      <c r="CX196" s="471"/>
      <c r="CY196" s="471"/>
      <c r="CZ196" s="471"/>
      <c r="DA196" s="471"/>
    </row>
    <row r="197" spans="1:105" ht="12" customHeight="1">
      <c r="A197" s="407" t="s">
        <v>328</v>
      </c>
      <c r="B197" s="407"/>
      <c r="C197" s="407"/>
      <c r="D197" s="407"/>
      <c r="E197" s="407"/>
      <c r="F197" s="407"/>
      <c r="G197" s="407"/>
      <c r="H197" s="434" t="s">
        <v>490</v>
      </c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  <c r="AA197" s="435"/>
      <c r="AB197" s="435"/>
      <c r="AC197" s="435"/>
      <c r="AD197" s="435"/>
      <c r="AE197" s="435"/>
      <c r="AF197" s="435"/>
      <c r="AG197" s="435"/>
      <c r="AH197" s="435"/>
      <c r="AI197" s="435"/>
      <c r="AJ197" s="435"/>
      <c r="AK197" s="435"/>
      <c r="AL197" s="435"/>
      <c r="AM197" s="435"/>
      <c r="AN197" s="435"/>
      <c r="AO197" s="435"/>
      <c r="AP197" s="435"/>
      <c r="AQ197" s="435"/>
      <c r="AR197" s="435"/>
      <c r="AS197" s="435"/>
      <c r="AT197" s="435"/>
      <c r="AU197" s="435"/>
      <c r="AV197" s="435"/>
      <c r="AW197" s="435"/>
      <c r="AX197" s="435"/>
      <c r="AY197" s="435"/>
      <c r="AZ197" s="435"/>
      <c r="BA197" s="435"/>
      <c r="BB197" s="435"/>
      <c r="BC197" s="436"/>
      <c r="BD197" s="471">
        <v>100</v>
      </c>
      <c r="BE197" s="471"/>
      <c r="BF197" s="471"/>
      <c r="BG197" s="471"/>
      <c r="BH197" s="471"/>
      <c r="BI197" s="471"/>
      <c r="BJ197" s="471"/>
      <c r="BK197" s="471"/>
      <c r="BL197" s="471"/>
      <c r="BM197" s="471"/>
      <c r="BN197" s="471"/>
      <c r="BO197" s="471"/>
      <c r="BP197" s="471"/>
      <c r="BQ197" s="471"/>
      <c r="BR197" s="471"/>
      <c r="BS197" s="471"/>
      <c r="BT197" s="471">
        <v>3350</v>
      </c>
      <c r="BU197" s="471"/>
      <c r="BV197" s="471"/>
      <c r="BW197" s="471"/>
      <c r="BX197" s="471"/>
      <c r="BY197" s="471"/>
      <c r="BZ197" s="471"/>
      <c r="CA197" s="471"/>
      <c r="CB197" s="471"/>
      <c r="CC197" s="471"/>
      <c r="CD197" s="471"/>
      <c r="CE197" s="471"/>
      <c r="CF197" s="471"/>
      <c r="CG197" s="471"/>
      <c r="CH197" s="471"/>
      <c r="CI197" s="471"/>
      <c r="CJ197" s="471">
        <f>BD197*BT197</f>
        <v>335000</v>
      </c>
      <c r="CK197" s="471"/>
      <c r="CL197" s="471"/>
      <c r="CM197" s="471"/>
      <c r="CN197" s="471"/>
      <c r="CO197" s="471"/>
      <c r="CP197" s="471"/>
      <c r="CQ197" s="471"/>
      <c r="CR197" s="471"/>
      <c r="CS197" s="471"/>
      <c r="CT197" s="471"/>
      <c r="CU197" s="471"/>
      <c r="CV197" s="471"/>
      <c r="CW197" s="471"/>
      <c r="CX197" s="471"/>
      <c r="CY197" s="471"/>
      <c r="CZ197" s="471"/>
      <c r="DA197" s="471"/>
    </row>
    <row r="198" spans="1:105" ht="12" customHeight="1">
      <c r="A198" s="407" t="s">
        <v>329</v>
      </c>
      <c r="B198" s="407"/>
      <c r="C198" s="407"/>
      <c r="D198" s="407"/>
      <c r="E198" s="407"/>
      <c r="F198" s="407"/>
      <c r="G198" s="407"/>
      <c r="H198" s="434" t="s">
        <v>491</v>
      </c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  <c r="AA198" s="435"/>
      <c r="AB198" s="435"/>
      <c r="AC198" s="435"/>
      <c r="AD198" s="435"/>
      <c r="AE198" s="435"/>
      <c r="AF198" s="435"/>
      <c r="AG198" s="435"/>
      <c r="AH198" s="435"/>
      <c r="AI198" s="435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435"/>
      <c r="AV198" s="435"/>
      <c r="AW198" s="435"/>
      <c r="AX198" s="435"/>
      <c r="AY198" s="435"/>
      <c r="AZ198" s="435"/>
      <c r="BA198" s="435"/>
      <c r="BB198" s="435"/>
      <c r="BC198" s="436"/>
      <c r="BD198" s="471">
        <v>4000</v>
      </c>
      <c r="BE198" s="471"/>
      <c r="BF198" s="471"/>
      <c r="BG198" s="471"/>
      <c r="BH198" s="471"/>
      <c r="BI198" s="471"/>
      <c r="BJ198" s="471"/>
      <c r="BK198" s="471"/>
      <c r="BL198" s="471"/>
      <c r="BM198" s="471"/>
      <c r="BN198" s="471"/>
      <c r="BO198" s="471"/>
      <c r="BP198" s="471"/>
      <c r="BQ198" s="471"/>
      <c r="BR198" s="471"/>
      <c r="BS198" s="471"/>
      <c r="BT198" s="471">
        <v>88.3</v>
      </c>
      <c r="BU198" s="471"/>
      <c r="BV198" s="471"/>
      <c r="BW198" s="471"/>
      <c r="BX198" s="471"/>
      <c r="BY198" s="471"/>
      <c r="BZ198" s="471"/>
      <c r="CA198" s="471"/>
      <c r="CB198" s="471"/>
      <c r="CC198" s="471"/>
      <c r="CD198" s="471"/>
      <c r="CE198" s="471"/>
      <c r="CF198" s="471"/>
      <c r="CG198" s="471"/>
      <c r="CH198" s="471"/>
      <c r="CI198" s="471"/>
      <c r="CJ198" s="471">
        <f t="shared" si="0"/>
        <v>353200</v>
      </c>
      <c r="CK198" s="471"/>
      <c r="CL198" s="471"/>
      <c r="CM198" s="471"/>
      <c r="CN198" s="471"/>
      <c r="CO198" s="471"/>
      <c r="CP198" s="471"/>
      <c r="CQ198" s="471"/>
      <c r="CR198" s="471"/>
      <c r="CS198" s="471"/>
      <c r="CT198" s="471"/>
      <c r="CU198" s="471"/>
      <c r="CV198" s="471"/>
      <c r="CW198" s="471"/>
      <c r="CX198" s="471"/>
      <c r="CY198" s="471"/>
      <c r="CZ198" s="471"/>
      <c r="DA198" s="471"/>
    </row>
    <row r="199" spans="1:105" ht="12" customHeight="1">
      <c r="A199" s="407" t="s">
        <v>330</v>
      </c>
      <c r="B199" s="407"/>
      <c r="C199" s="407"/>
      <c r="D199" s="407"/>
      <c r="E199" s="407"/>
      <c r="F199" s="407"/>
      <c r="G199" s="407"/>
      <c r="H199" s="434" t="s">
        <v>492</v>
      </c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  <c r="AA199" s="435"/>
      <c r="AB199" s="435"/>
      <c r="AC199" s="435"/>
      <c r="AD199" s="435"/>
      <c r="AE199" s="435"/>
      <c r="AF199" s="435"/>
      <c r="AG199" s="435"/>
      <c r="AH199" s="435"/>
      <c r="AI199" s="435"/>
      <c r="AJ199" s="435"/>
      <c r="AK199" s="435"/>
      <c r="AL199" s="435"/>
      <c r="AM199" s="435"/>
      <c r="AN199" s="435"/>
      <c r="AO199" s="435"/>
      <c r="AP199" s="435"/>
      <c r="AQ199" s="435"/>
      <c r="AR199" s="435"/>
      <c r="AS199" s="435"/>
      <c r="AT199" s="435"/>
      <c r="AU199" s="435"/>
      <c r="AV199" s="435"/>
      <c r="AW199" s="435"/>
      <c r="AX199" s="435"/>
      <c r="AY199" s="435"/>
      <c r="AZ199" s="435"/>
      <c r="BA199" s="435"/>
      <c r="BB199" s="435"/>
      <c r="BC199" s="436"/>
      <c r="BD199" s="471">
        <v>20</v>
      </c>
      <c r="BE199" s="471"/>
      <c r="BF199" s="471"/>
      <c r="BG199" s="471"/>
      <c r="BH199" s="471"/>
      <c r="BI199" s="471"/>
      <c r="BJ199" s="471"/>
      <c r="BK199" s="471"/>
      <c r="BL199" s="471"/>
      <c r="BM199" s="471"/>
      <c r="BN199" s="471"/>
      <c r="BO199" s="471"/>
      <c r="BP199" s="471"/>
      <c r="BQ199" s="471"/>
      <c r="BR199" s="471"/>
      <c r="BS199" s="471"/>
      <c r="BT199" s="471">
        <v>15795</v>
      </c>
      <c r="BU199" s="471"/>
      <c r="BV199" s="471"/>
      <c r="BW199" s="471"/>
      <c r="BX199" s="471"/>
      <c r="BY199" s="471"/>
      <c r="BZ199" s="471"/>
      <c r="CA199" s="471"/>
      <c r="CB199" s="471"/>
      <c r="CC199" s="471"/>
      <c r="CD199" s="471"/>
      <c r="CE199" s="471"/>
      <c r="CF199" s="471"/>
      <c r="CG199" s="471"/>
      <c r="CH199" s="471"/>
      <c r="CI199" s="471"/>
      <c r="CJ199" s="471">
        <f t="shared" si="0"/>
        <v>315900</v>
      </c>
      <c r="CK199" s="471"/>
      <c r="CL199" s="471"/>
      <c r="CM199" s="471"/>
      <c r="CN199" s="471"/>
      <c r="CO199" s="471"/>
      <c r="CP199" s="471"/>
      <c r="CQ199" s="471"/>
      <c r="CR199" s="471"/>
      <c r="CS199" s="471"/>
      <c r="CT199" s="471"/>
      <c r="CU199" s="471"/>
      <c r="CV199" s="471"/>
      <c r="CW199" s="471"/>
      <c r="CX199" s="471"/>
      <c r="CY199" s="471"/>
      <c r="CZ199" s="471"/>
      <c r="DA199" s="471"/>
    </row>
    <row r="200" spans="1:105" ht="12" customHeight="1">
      <c r="A200" s="407" t="s">
        <v>331</v>
      </c>
      <c r="B200" s="407"/>
      <c r="C200" s="407"/>
      <c r="D200" s="407"/>
      <c r="E200" s="407"/>
      <c r="F200" s="407"/>
      <c r="G200" s="407"/>
      <c r="H200" s="434" t="s">
        <v>493</v>
      </c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  <c r="AA200" s="435"/>
      <c r="AB200" s="435"/>
      <c r="AC200" s="435"/>
      <c r="AD200" s="435"/>
      <c r="AE200" s="435"/>
      <c r="AF200" s="435"/>
      <c r="AG200" s="435"/>
      <c r="AH200" s="435"/>
      <c r="AI200" s="435"/>
      <c r="AJ200" s="435"/>
      <c r="AK200" s="435"/>
      <c r="AL200" s="435"/>
      <c r="AM200" s="435"/>
      <c r="AN200" s="435"/>
      <c r="AO200" s="435"/>
      <c r="AP200" s="435"/>
      <c r="AQ200" s="435"/>
      <c r="AR200" s="435"/>
      <c r="AS200" s="435"/>
      <c r="AT200" s="435"/>
      <c r="AU200" s="435"/>
      <c r="AV200" s="435"/>
      <c r="AW200" s="435"/>
      <c r="AX200" s="435"/>
      <c r="AY200" s="435"/>
      <c r="AZ200" s="435"/>
      <c r="BA200" s="435"/>
      <c r="BB200" s="435"/>
      <c r="BC200" s="436"/>
      <c r="BD200" s="471">
        <v>1000</v>
      </c>
      <c r="BE200" s="471"/>
      <c r="BF200" s="471"/>
      <c r="BG200" s="471"/>
      <c r="BH200" s="471"/>
      <c r="BI200" s="471"/>
      <c r="BJ200" s="471"/>
      <c r="BK200" s="471"/>
      <c r="BL200" s="471"/>
      <c r="BM200" s="471"/>
      <c r="BN200" s="471"/>
      <c r="BO200" s="471"/>
      <c r="BP200" s="471"/>
      <c r="BQ200" s="471"/>
      <c r="BR200" s="471"/>
      <c r="BS200" s="471"/>
      <c r="BT200" s="471">
        <v>110</v>
      </c>
      <c r="BU200" s="471"/>
      <c r="BV200" s="471"/>
      <c r="BW200" s="471"/>
      <c r="BX200" s="471"/>
      <c r="BY200" s="471"/>
      <c r="BZ200" s="471"/>
      <c r="CA200" s="471"/>
      <c r="CB200" s="471"/>
      <c r="CC200" s="471"/>
      <c r="CD200" s="471"/>
      <c r="CE200" s="471"/>
      <c r="CF200" s="471"/>
      <c r="CG200" s="471"/>
      <c r="CH200" s="471"/>
      <c r="CI200" s="471"/>
      <c r="CJ200" s="471">
        <f t="shared" si="0"/>
        <v>110000</v>
      </c>
      <c r="CK200" s="471"/>
      <c r="CL200" s="471"/>
      <c r="CM200" s="471"/>
      <c r="CN200" s="471"/>
      <c r="CO200" s="471"/>
      <c r="CP200" s="471"/>
      <c r="CQ200" s="471"/>
      <c r="CR200" s="471"/>
      <c r="CS200" s="471"/>
      <c r="CT200" s="471"/>
      <c r="CU200" s="471"/>
      <c r="CV200" s="471"/>
      <c r="CW200" s="471"/>
      <c r="CX200" s="471"/>
      <c r="CY200" s="471"/>
      <c r="CZ200" s="471"/>
      <c r="DA200" s="471"/>
    </row>
    <row r="201" spans="1:105" ht="12" customHeight="1">
      <c r="A201" s="407" t="s">
        <v>332</v>
      </c>
      <c r="B201" s="407"/>
      <c r="C201" s="407"/>
      <c r="D201" s="407"/>
      <c r="E201" s="407"/>
      <c r="F201" s="407"/>
      <c r="G201" s="407"/>
      <c r="H201" s="434" t="s">
        <v>494</v>
      </c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  <c r="AA201" s="435"/>
      <c r="AB201" s="435"/>
      <c r="AC201" s="435"/>
      <c r="AD201" s="435"/>
      <c r="AE201" s="435"/>
      <c r="AF201" s="435"/>
      <c r="AG201" s="435"/>
      <c r="AH201" s="435"/>
      <c r="AI201" s="435"/>
      <c r="AJ201" s="435"/>
      <c r="AK201" s="435"/>
      <c r="AL201" s="435"/>
      <c r="AM201" s="435"/>
      <c r="AN201" s="435"/>
      <c r="AO201" s="435"/>
      <c r="AP201" s="435"/>
      <c r="AQ201" s="435"/>
      <c r="AR201" s="435"/>
      <c r="AS201" s="435"/>
      <c r="AT201" s="435"/>
      <c r="AU201" s="435"/>
      <c r="AV201" s="435"/>
      <c r="AW201" s="435"/>
      <c r="AX201" s="435"/>
      <c r="AY201" s="435"/>
      <c r="AZ201" s="435"/>
      <c r="BA201" s="435"/>
      <c r="BB201" s="435"/>
      <c r="BC201" s="436"/>
      <c r="BD201" s="471">
        <v>300</v>
      </c>
      <c r="BE201" s="471"/>
      <c r="BF201" s="471"/>
      <c r="BG201" s="471"/>
      <c r="BH201" s="471"/>
      <c r="BI201" s="471"/>
      <c r="BJ201" s="471"/>
      <c r="BK201" s="471"/>
      <c r="BL201" s="471"/>
      <c r="BM201" s="471"/>
      <c r="BN201" s="471"/>
      <c r="BO201" s="471"/>
      <c r="BP201" s="471"/>
      <c r="BQ201" s="471"/>
      <c r="BR201" s="471"/>
      <c r="BS201" s="471"/>
      <c r="BT201" s="471">
        <v>769.23</v>
      </c>
      <c r="BU201" s="471"/>
      <c r="BV201" s="471"/>
      <c r="BW201" s="471"/>
      <c r="BX201" s="471"/>
      <c r="BY201" s="471"/>
      <c r="BZ201" s="471"/>
      <c r="CA201" s="471"/>
      <c r="CB201" s="471"/>
      <c r="CC201" s="471"/>
      <c r="CD201" s="471"/>
      <c r="CE201" s="471"/>
      <c r="CF201" s="471"/>
      <c r="CG201" s="471"/>
      <c r="CH201" s="471"/>
      <c r="CI201" s="471"/>
      <c r="CJ201" s="471">
        <f t="shared" si="0"/>
        <v>230769</v>
      </c>
      <c r="CK201" s="471"/>
      <c r="CL201" s="471"/>
      <c r="CM201" s="471"/>
      <c r="CN201" s="471"/>
      <c r="CO201" s="471"/>
      <c r="CP201" s="471"/>
      <c r="CQ201" s="471"/>
      <c r="CR201" s="471"/>
      <c r="CS201" s="471"/>
      <c r="CT201" s="471"/>
      <c r="CU201" s="471"/>
      <c r="CV201" s="471"/>
      <c r="CW201" s="471"/>
      <c r="CX201" s="471"/>
      <c r="CY201" s="471"/>
      <c r="CZ201" s="471"/>
      <c r="DA201" s="471"/>
    </row>
    <row r="202" spans="1:105" ht="12" customHeight="1">
      <c r="A202" s="407" t="s">
        <v>104</v>
      </c>
      <c r="B202" s="407"/>
      <c r="C202" s="407"/>
      <c r="D202" s="407"/>
      <c r="E202" s="407"/>
      <c r="F202" s="407"/>
      <c r="G202" s="407"/>
      <c r="H202" s="434" t="s">
        <v>495</v>
      </c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  <c r="AA202" s="435"/>
      <c r="AB202" s="435"/>
      <c r="AC202" s="435"/>
      <c r="AD202" s="435"/>
      <c r="AE202" s="435"/>
      <c r="AF202" s="435"/>
      <c r="AG202" s="435"/>
      <c r="AH202" s="435"/>
      <c r="AI202" s="435"/>
      <c r="AJ202" s="435"/>
      <c r="AK202" s="435"/>
      <c r="AL202" s="435"/>
      <c r="AM202" s="435"/>
      <c r="AN202" s="435"/>
      <c r="AO202" s="435"/>
      <c r="AP202" s="435"/>
      <c r="AQ202" s="435"/>
      <c r="AR202" s="435"/>
      <c r="AS202" s="435"/>
      <c r="AT202" s="435"/>
      <c r="AU202" s="435"/>
      <c r="AV202" s="435"/>
      <c r="AW202" s="435"/>
      <c r="AX202" s="435"/>
      <c r="AY202" s="435"/>
      <c r="AZ202" s="435"/>
      <c r="BA202" s="435"/>
      <c r="BB202" s="435"/>
      <c r="BC202" s="436"/>
      <c r="BD202" s="471">
        <v>150</v>
      </c>
      <c r="BE202" s="471"/>
      <c r="BF202" s="471"/>
      <c r="BG202" s="471"/>
      <c r="BH202" s="471"/>
      <c r="BI202" s="471"/>
      <c r="BJ202" s="471"/>
      <c r="BK202" s="471"/>
      <c r="BL202" s="471"/>
      <c r="BM202" s="471"/>
      <c r="BN202" s="471"/>
      <c r="BO202" s="471"/>
      <c r="BP202" s="471"/>
      <c r="BQ202" s="471"/>
      <c r="BR202" s="471"/>
      <c r="BS202" s="471"/>
      <c r="BT202" s="471">
        <v>1295</v>
      </c>
      <c r="BU202" s="471"/>
      <c r="BV202" s="471"/>
      <c r="BW202" s="471"/>
      <c r="BX202" s="471"/>
      <c r="BY202" s="471"/>
      <c r="BZ202" s="471"/>
      <c r="CA202" s="471"/>
      <c r="CB202" s="471"/>
      <c r="CC202" s="471"/>
      <c r="CD202" s="471"/>
      <c r="CE202" s="471"/>
      <c r="CF202" s="471"/>
      <c r="CG202" s="471"/>
      <c r="CH202" s="471"/>
      <c r="CI202" s="471"/>
      <c r="CJ202" s="471">
        <f t="shared" si="0"/>
        <v>194250</v>
      </c>
      <c r="CK202" s="471"/>
      <c r="CL202" s="471"/>
      <c r="CM202" s="471"/>
      <c r="CN202" s="471"/>
      <c r="CO202" s="471"/>
      <c r="CP202" s="471"/>
      <c r="CQ202" s="471"/>
      <c r="CR202" s="471"/>
      <c r="CS202" s="471"/>
      <c r="CT202" s="471"/>
      <c r="CU202" s="471"/>
      <c r="CV202" s="471"/>
      <c r="CW202" s="471"/>
      <c r="CX202" s="471"/>
      <c r="CY202" s="471"/>
      <c r="CZ202" s="471"/>
      <c r="DA202" s="471"/>
    </row>
    <row r="203" spans="1:105" ht="12" customHeight="1">
      <c r="A203" s="407" t="s">
        <v>105</v>
      </c>
      <c r="B203" s="407"/>
      <c r="C203" s="407"/>
      <c r="D203" s="407"/>
      <c r="E203" s="407"/>
      <c r="F203" s="407"/>
      <c r="G203" s="407"/>
      <c r="H203" s="434" t="s">
        <v>496</v>
      </c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  <c r="AB203" s="435"/>
      <c r="AC203" s="435"/>
      <c r="AD203" s="435"/>
      <c r="AE203" s="435"/>
      <c r="AF203" s="435"/>
      <c r="AG203" s="435"/>
      <c r="AH203" s="435"/>
      <c r="AI203" s="435"/>
      <c r="AJ203" s="435"/>
      <c r="AK203" s="435"/>
      <c r="AL203" s="435"/>
      <c r="AM203" s="435"/>
      <c r="AN203" s="435"/>
      <c r="AO203" s="435"/>
      <c r="AP203" s="435"/>
      <c r="AQ203" s="435"/>
      <c r="AR203" s="435"/>
      <c r="AS203" s="435"/>
      <c r="AT203" s="435"/>
      <c r="AU203" s="435"/>
      <c r="AV203" s="435"/>
      <c r="AW203" s="435"/>
      <c r="AX203" s="435"/>
      <c r="AY203" s="435"/>
      <c r="AZ203" s="435"/>
      <c r="BA203" s="435"/>
      <c r="BB203" s="435"/>
      <c r="BC203" s="436"/>
      <c r="BD203" s="471">
        <v>130</v>
      </c>
      <c r="BE203" s="471"/>
      <c r="BF203" s="471"/>
      <c r="BG203" s="471"/>
      <c r="BH203" s="471"/>
      <c r="BI203" s="471"/>
      <c r="BJ203" s="471"/>
      <c r="BK203" s="471"/>
      <c r="BL203" s="471"/>
      <c r="BM203" s="471"/>
      <c r="BN203" s="471"/>
      <c r="BO203" s="471"/>
      <c r="BP203" s="471"/>
      <c r="BQ203" s="471"/>
      <c r="BR203" s="471"/>
      <c r="BS203" s="471"/>
      <c r="BT203" s="471">
        <v>769.25</v>
      </c>
      <c r="BU203" s="471"/>
      <c r="BV203" s="471"/>
      <c r="BW203" s="471"/>
      <c r="BX203" s="471"/>
      <c r="BY203" s="471"/>
      <c r="BZ203" s="471"/>
      <c r="CA203" s="471"/>
      <c r="CB203" s="471"/>
      <c r="CC203" s="471"/>
      <c r="CD203" s="471"/>
      <c r="CE203" s="471"/>
      <c r="CF203" s="471"/>
      <c r="CG203" s="471"/>
      <c r="CH203" s="471"/>
      <c r="CI203" s="471"/>
      <c r="CJ203" s="471">
        <f t="shared" si="0"/>
        <v>100002.5</v>
      </c>
      <c r="CK203" s="471"/>
      <c r="CL203" s="471"/>
      <c r="CM203" s="471"/>
      <c r="CN203" s="471"/>
      <c r="CO203" s="471"/>
      <c r="CP203" s="471"/>
      <c r="CQ203" s="471"/>
      <c r="CR203" s="471"/>
      <c r="CS203" s="471"/>
      <c r="CT203" s="471"/>
      <c r="CU203" s="471"/>
      <c r="CV203" s="471"/>
      <c r="CW203" s="471"/>
      <c r="CX203" s="471"/>
      <c r="CY203" s="471"/>
      <c r="CZ203" s="471"/>
      <c r="DA203" s="471"/>
    </row>
    <row r="204" spans="1:105" ht="12" customHeight="1">
      <c r="A204" s="407" t="s">
        <v>129</v>
      </c>
      <c r="B204" s="407"/>
      <c r="C204" s="407"/>
      <c r="D204" s="407"/>
      <c r="E204" s="407"/>
      <c r="F204" s="407"/>
      <c r="G204" s="407"/>
      <c r="H204" s="434" t="s">
        <v>497</v>
      </c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  <c r="AA204" s="435"/>
      <c r="AB204" s="435"/>
      <c r="AC204" s="435"/>
      <c r="AD204" s="435"/>
      <c r="AE204" s="435"/>
      <c r="AF204" s="435"/>
      <c r="AG204" s="435"/>
      <c r="AH204" s="435"/>
      <c r="AI204" s="435"/>
      <c r="AJ204" s="435"/>
      <c r="AK204" s="435"/>
      <c r="AL204" s="435"/>
      <c r="AM204" s="435"/>
      <c r="AN204" s="435"/>
      <c r="AO204" s="435"/>
      <c r="AP204" s="435"/>
      <c r="AQ204" s="435"/>
      <c r="AR204" s="435"/>
      <c r="AS204" s="435"/>
      <c r="AT204" s="435"/>
      <c r="AU204" s="435"/>
      <c r="AV204" s="435"/>
      <c r="AW204" s="435"/>
      <c r="AX204" s="435"/>
      <c r="AY204" s="435"/>
      <c r="AZ204" s="435"/>
      <c r="BA204" s="435"/>
      <c r="BB204" s="435"/>
      <c r="BC204" s="436"/>
      <c r="BD204" s="471">
        <v>130</v>
      </c>
      <c r="BE204" s="471"/>
      <c r="BF204" s="471"/>
      <c r="BG204" s="471"/>
      <c r="BH204" s="471"/>
      <c r="BI204" s="471"/>
      <c r="BJ204" s="471"/>
      <c r="BK204" s="471"/>
      <c r="BL204" s="471"/>
      <c r="BM204" s="471"/>
      <c r="BN204" s="471"/>
      <c r="BO204" s="471"/>
      <c r="BP204" s="471"/>
      <c r="BQ204" s="471"/>
      <c r="BR204" s="471"/>
      <c r="BS204" s="471"/>
      <c r="BT204" s="471">
        <v>261.54</v>
      </c>
      <c r="BU204" s="471"/>
      <c r="BV204" s="471"/>
      <c r="BW204" s="471"/>
      <c r="BX204" s="471"/>
      <c r="BY204" s="471"/>
      <c r="BZ204" s="471"/>
      <c r="CA204" s="471"/>
      <c r="CB204" s="471"/>
      <c r="CC204" s="471"/>
      <c r="CD204" s="471"/>
      <c r="CE204" s="471"/>
      <c r="CF204" s="471"/>
      <c r="CG204" s="471"/>
      <c r="CH204" s="471"/>
      <c r="CI204" s="471"/>
      <c r="CJ204" s="471">
        <f t="shared" si="0"/>
        <v>34000.2</v>
      </c>
      <c r="CK204" s="471"/>
      <c r="CL204" s="471"/>
      <c r="CM204" s="471"/>
      <c r="CN204" s="471"/>
      <c r="CO204" s="471"/>
      <c r="CP204" s="471"/>
      <c r="CQ204" s="471"/>
      <c r="CR204" s="471"/>
      <c r="CS204" s="471"/>
      <c r="CT204" s="471"/>
      <c r="CU204" s="471"/>
      <c r="CV204" s="471"/>
      <c r="CW204" s="471"/>
      <c r="CX204" s="471"/>
      <c r="CY204" s="471"/>
      <c r="CZ204" s="471"/>
      <c r="DA204" s="471"/>
    </row>
    <row r="205" spans="1:105" ht="12" customHeight="1">
      <c r="A205" s="407" t="s">
        <v>440</v>
      </c>
      <c r="B205" s="407"/>
      <c r="C205" s="407"/>
      <c r="D205" s="407"/>
      <c r="E205" s="407"/>
      <c r="F205" s="407"/>
      <c r="G205" s="407"/>
      <c r="H205" s="434" t="s">
        <v>498</v>
      </c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  <c r="AB205" s="435"/>
      <c r="AC205" s="435"/>
      <c r="AD205" s="435"/>
      <c r="AE205" s="435"/>
      <c r="AF205" s="435"/>
      <c r="AG205" s="435"/>
      <c r="AH205" s="435"/>
      <c r="AI205" s="435"/>
      <c r="AJ205" s="435"/>
      <c r="AK205" s="435"/>
      <c r="AL205" s="435"/>
      <c r="AM205" s="435"/>
      <c r="AN205" s="435"/>
      <c r="AO205" s="435"/>
      <c r="AP205" s="435"/>
      <c r="AQ205" s="435"/>
      <c r="AR205" s="435"/>
      <c r="AS205" s="435"/>
      <c r="AT205" s="435"/>
      <c r="AU205" s="435"/>
      <c r="AV205" s="435"/>
      <c r="AW205" s="435"/>
      <c r="AX205" s="435"/>
      <c r="AY205" s="435"/>
      <c r="AZ205" s="435"/>
      <c r="BA205" s="435"/>
      <c r="BB205" s="435"/>
      <c r="BC205" s="436"/>
      <c r="BD205" s="471">
        <v>280</v>
      </c>
      <c r="BE205" s="471"/>
      <c r="BF205" s="471"/>
      <c r="BG205" s="471"/>
      <c r="BH205" s="471"/>
      <c r="BI205" s="471"/>
      <c r="BJ205" s="471"/>
      <c r="BK205" s="471"/>
      <c r="BL205" s="471"/>
      <c r="BM205" s="471"/>
      <c r="BN205" s="471"/>
      <c r="BO205" s="471"/>
      <c r="BP205" s="471"/>
      <c r="BQ205" s="471"/>
      <c r="BR205" s="471"/>
      <c r="BS205" s="471"/>
      <c r="BT205" s="471">
        <v>357.14</v>
      </c>
      <c r="BU205" s="471"/>
      <c r="BV205" s="471"/>
      <c r="BW205" s="471"/>
      <c r="BX205" s="471"/>
      <c r="BY205" s="471"/>
      <c r="BZ205" s="471"/>
      <c r="CA205" s="471"/>
      <c r="CB205" s="471"/>
      <c r="CC205" s="471"/>
      <c r="CD205" s="471"/>
      <c r="CE205" s="471"/>
      <c r="CF205" s="471"/>
      <c r="CG205" s="471"/>
      <c r="CH205" s="471"/>
      <c r="CI205" s="471"/>
      <c r="CJ205" s="471">
        <f t="shared" si="0"/>
        <v>99999.2</v>
      </c>
      <c r="CK205" s="471"/>
      <c r="CL205" s="471"/>
      <c r="CM205" s="471"/>
      <c r="CN205" s="471"/>
      <c r="CO205" s="471"/>
      <c r="CP205" s="471"/>
      <c r="CQ205" s="471"/>
      <c r="CR205" s="471"/>
      <c r="CS205" s="471"/>
      <c r="CT205" s="471"/>
      <c r="CU205" s="471"/>
      <c r="CV205" s="471"/>
      <c r="CW205" s="471"/>
      <c r="CX205" s="471"/>
      <c r="CY205" s="471"/>
      <c r="CZ205" s="471"/>
      <c r="DA205" s="471"/>
    </row>
    <row r="206" spans="1:105" ht="12" customHeight="1">
      <c r="A206" s="407" t="s">
        <v>442</v>
      </c>
      <c r="B206" s="407"/>
      <c r="C206" s="407"/>
      <c r="D206" s="407"/>
      <c r="E206" s="407"/>
      <c r="F206" s="407"/>
      <c r="G206" s="407"/>
      <c r="H206" s="434" t="s">
        <v>499</v>
      </c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  <c r="AB206" s="435"/>
      <c r="AC206" s="435"/>
      <c r="AD206" s="435"/>
      <c r="AE206" s="435"/>
      <c r="AF206" s="435"/>
      <c r="AG206" s="435"/>
      <c r="AH206" s="435"/>
      <c r="AI206" s="435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435"/>
      <c r="AV206" s="435"/>
      <c r="AW206" s="435"/>
      <c r="AX206" s="435"/>
      <c r="AY206" s="435"/>
      <c r="AZ206" s="435"/>
      <c r="BA206" s="435"/>
      <c r="BB206" s="435"/>
      <c r="BC206" s="436"/>
      <c r="BD206" s="471">
        <v>335</v>
      </c>
      <c r="BE206" s="471"/>
      <c r="BF206" s="471"/>
      <c r="BG206" s="471"/>
      <c r="BH206" s="471"/>
      <c r="BI206" s="471"/>
      <c r="BJ206" s="471"/>
      <c r="BK206" s="471"/>
      <c r="BL206" s="471"/>
      <c r="BM206" s="471"/>
      <c r="BN206" s="471"/>
      <c r="BO206" s="471"/>
      <c r="BP206" s="471"/>
      <c r="BQ206" s="471"/>
      <c r="BR206" s="471"/>
      <c r="BS206" s="471"/>
      <c r="BT206" s="471">
        <v>103.17</v>
      </c>
      <c r="BU206" s="471"/>
      <c r="BV206" s="471"/>
      <c r="BW206" s="471"/>
      <c r="BX206" s="471"/>
      <c r="BY206" s="471"/>
      <c r="BZ206" s="471"/>
      <c r="CA206" s="471"/>
      <c r="CB206" s="471"/>
      <c r="CC206" s="471"/>
      <c r="CD206" s="471"/>
      <c r="CE206" s="471"/>
      <c r="CF206" s="471"/>
      <c r="CG206" s="471"/>
      <c r="CH206" s="471"/>
      <c r="CI206" s="471"/>
      <c r="CJ206" s="471">
        <f t="shared" si="0"/>
        <v>34561.95</v>
      </c>
      <c r="CK206" s="471"/>
      <c r="CL206" s="471"/>
      <c r="CM206" s="471"/>
      <c r="CN206" s="471"/>
      <c r="CO206" s="471"/>
      <c r="CP206" s="471"/>
      <c r="CQ206" s="471"/>
      <c r="CR206" s="471"/>
      <c r="CS206" s="471"/>
      <c r="CT206" s="471"/>
      <c r="CU206" s="471"/>
      <c r="CV206" s="471"/>
      <c r="CW206" s="471"/>
      <c r="CX206" s="471"/>
      <c r="CY206" s="471"/>
      <c r="CZ206" s="471"/>
      <c r="DA206" s="471"/>
    </row>
    <row r="207" spans="1:105" ht="12" customHeight="1">
      <c r="A207" s="407" t="s">
        <v>444</v>
      </c>
      <c r="B207" s="407"/>
      <c r="C207" s="407"/>
      <c r="D207" s="407"/>
      <c r="E207" s="407"/>
      <c r="F207" s="407"/>
      <c r="G207" s="407"/>
      <c r="H207" s="434" t="s">
        <v>500</v>
      </c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  <c r="AA207" s="435"/>
      <c r="AB207" s="435"/>
      <c r="AC207" s="435"/>
      <c r="AD207" s="435"/>
      <c r="AE207" s="435"/>
      <c r="AF207" s="435"/>
      <c r="AG207" s="435"/>
      <c r="AH207" s="435"/>
      <c r="AI207" s="435"/>
      <c r="AJ207" s="435"/>
      <c r="AK207" s="435"/>
      <c r="AL207" s="435"/>
      <c r="AM207" s="435"/>
      <c r="AN207" s="435"/>
      <c r="AO207" s="435"/>
      <c r="AP207" s="435"/>
      <c r="AQ207" s="435"/>
      <c r="AR207" s="435"/>
      <c r="AS207" s="435"/>
      <c r="AT207" s="435"/>
      <c r="AU207" s="435"/>
      <c r="AV207" s="435"/>
      <c r="AW207" s="435"/>
      <c r="AX207" s="435"/>
      <c r="AY207" s="435"/>
      <c r="AZ207" s="435"/>
      <c r="BA207" s="435"/>
      <c r="BB207" s="435"/>
      <c r="BC207" s="436"/>
      <c r="BD207" s="471">
        <v>150</v>
      </c>
      <c r="BE207" s="471"/>
      <c r="BF207" s="471"/>
      <c r="BG207" s="471"/>
      <c r="BH207" s="471"/>
      <c r="BI207" s="471"/>
      <c r="BJ207" s="471"/>
      <c r="BK207" s="471"/>
      <c r="BL207" s="471"/>
      <c r="BM207" s="471"/>
      <c r="BN207" s="471"/>
      <c r="BO207" s="471"/>
      <c r="BP207" s="471"/>
      <c r="BQ207" s="471"/>
      <c r="BR207" s="471"/>
      <c r="BS207" s="471"/>
      <c r="BT207" s="471">
        <v>2550</v>
      </c>
      <c r="BU207" s="471"/>
      <c r="BV207" s="471"/>
      <c r="BW207" s="471"/>
      <c r="BX207" s="471"/>
      <c r="BY207" s="471"/>
      <c r="BZ207" s="471"/>
      <c r="CA207" s="471"/>
      <c r="CB207" s="471"/>
      <c r="CC207" s="471"/>
      <c r="CD207" s="471"/>
      <c r="CE207" s="471"/>
      <c r="CF207" s="471"/>
      <c r="CG207" s="471"/>
      <c r="CH207" s="471"/>
      <c r="CI207" s="471"/>
      <c r="CJ207" s="471">
        <f t="shared" si="0"/>
        <v>382500</v>
      </c>
      <c r="CK207" s="471"/>
      <c r="CL207" s="471"/>
      <c r="CM207" s="471"/>
      <c r="CN207" s="471"/>
      <c r="CO207" s="471"/>
      <c r="CP207" s="471"/>
      <c r="CQ207" s="471"/>
      <c r="CR207" s="471"/>
      <c r="CS207" s="471"/>
      <c r="CT207" s="471"/>
      <c r="CU207" s="471"/>
      <c r="CV207" s="471"/>
      <c r="CW207" s="471"/>
      <c r="CX207" s="471"/>
      <c r="CY207" s="471"/>
      <c r="CZ207" s="471"/>
      <c r="DA207" s="471"/>
    </row>
    <row r="208" spans="1:105" ht="12" customHeight="1">
      <c r="A208" s="407" t="s">
        <v>446</v>
      </c>
      <c r="B208" s="407"/>
      <c r="C208" s="407"/>
      <c r="D208" s="407"/>
      <c r="E208" s="407"/>
      <c r="F208" s="407"/>
      <c r="G208" s="407"/>
      <c r="H208" s="434" t="s">
        <v>501</v>
      </c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  <c r="AA208" s="435"/>
      <c r="AB208" s="435"/>
      <c r="AC208" s="435"/>
      <c r="AD208" s="435"/>
      <c r="AE208" s="435"/>
      <c r="AF208" s="435"/>
      <c r="AG208" s="435"/>
      <c r="AH208" s="435"/>
      <c r="AI208" s="435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435"/>
      <c r="AV208" s="435"/>
      <c r="AW208" s="435"/>
      <c r="AX208" s="435"/>
      <c r="AY208" s="435"/>
      <c r="AZ208" s="435"/>
      <c r="BA208" s="435"/>
      <c r="BB208" s="435"/>
      <c r="BC208" s="436"/>
      <c r="BD208" s="471">
        <v>25</v>
      </c>
      <c r="BE208" s="471"/>
      <c r="BF208" s="471"/>
      <c r="BG208" s="471"/>
      <c r="BH208" s="471"/>
      <c r="BI208" s="471"/>
      <c r="BJ208" s="471"/>
      <c r="BK208" s="471"/>
      <c r="BL208" s="471"/>
      <c r="BM208" s="471"/>
      <c r="BN208" s="471"/>
      <c r="BO208" s="471"/>
      <c r="BP208" s="471"/>
      <c r="BQ208" s="471"/>
      <c r="BR208" s="471"/>
      <c r="BS208" s="471"/>
      <c r="BT208" s="471">
        <v>10500</v>
      </c>
      <c r="BU208" s="471"/>
      <c r="BV208" s="471"/>
      <c r="BW208" s="471"/>
      <c r="BX208" s="471"/>
      <c r="BY208" s="471"/>
      <c r="BZ208" s="471"/>
      <c r="CA208" s="471"/>
      <c r="CB208" s="471"/>
      <c r="CC208" s="471"/>
      <c r="CD208" s="471"/>
      <c r="CE208" s="471"/>
      <c r="CF208" s="471"/>
      <c r="CG208" s="471"/>
      <c r="CH208" s="471"/>
      <c r="CI208" s="471"/>
      <c r="CJ208" s="471">
        <f t="shared" si="0"/>
        <v>262500</v>
      </c>
      <c r="CK208" s="471"/>
      <c r="CL208" s="471"/>
      <c r="CM208" s="471"/>
      <c r="CN208" s="471"/>
      <c r="CO208" s="471"/>
      <c r="CP208" s="471"/>
      <c r="CQ208" s="471"/>
      <c r="CR208" s="471"/>
      <c r="CS208" s="471"/>
      <c r="CT208" s="471"/>
      <c r="CU208" s="471"/>
      <c r="CV208" s="471"/>
      <c r="CW208" s="471"/>
      <c r="CX208" s="471"/>
      <c r="CY208" s="471"/>
      <c r="CZ208" s="471"/>
      <c r="DA208" s="471"/>
    </row>
    <row r="209" spans="1:105" ht="12" customHeight="1">
      <c r="A209" s="407" t="s">
        <v>448</v>
      </c>
      <c r="B209" s="407"/>
      <c r="C209" s="407"/>
      <c r="D209" s="407"/>
      <c r="E209" s="407"/>
      <c r="F209" s="407"/>
      <c r="G209" s="407"/>
      <c r="H209" s="434" t="s">
        <v>502</v>
      </c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5"/>
      <c r="U209" s="435"/>
      <c r="V209" s="435"/>
      <c r="W209" s="435"/>
      <c r="X209" s="435"/>
      <c r="Y209" s="435"/>
      <c r="Z209" s="435"/>
      <c r="AA209" s="435"/>
      <c r="AB209" s="435"/>
      <c r="AC209" s="435"/>
      <c r="AD209" s="435"/>
      <c r="AE209" s="435"/>
      <c r="AF209" s="435"/>
      <c r="AG209" s="435"/>
      <c r="AH209" s="435"/>
      <c r="AI209" s="435"/>
      <c r="AJ209" s="435"/>
      <c r="AK209" s="435"/>
      <c r="AL209" s="435"/>
      <c r="AM209" s="435"/>
      <c r="AN209" s="435"/>
      <c r="AO209" s="435"/>
      <c r="AP209" s="435"/>
      <c r="AQ209" s="435"/>
      <c r="AR209" s="435"/>
      <c r="AS209" s="435"/>
      <c r="AT209" s="435"/>
      <c r="AU209" s="435"/>
      <c r="AV209" s="435"/>
      <c r="AW209" s="435"/>
      <c r="AX209" s="435"/>
      <c r="AY209" s="435"/>
      <c r="AZ209" s="435"/>
      <c r="BA209" s="435"/>
      <c r="BB209" s="435"/>
      <c r="BC209" s="436"/>
      <c r="BD209" s="471">
        <v>300</v>
      </c>
      <c r="BE209" s="471"/>
      <c r="BF209" s="471"/>
      <c r="BG209" s="471"/>
      <c r="BH209" s="471"/>
      <c r="BI209" s="471"/>
      <c r="BJ209" s="471"/>
      <c r="BK209" s="471"/>
      <c r="BL209" s="471"/>
      <c r="BM209" s="471"/>
      <c r="BN209" s="471"/>
      <c r="BO209" s="471"/>
      <c r="BP209" s="471"/>
      <c r="BQ209" s="471"/>
      <c r="BR209" s="471"/>
      <c r="BS209" s="471"/>
      <c r="BT209" s="471">
        <v>665.75</v>
      </c>
      <c r="BU209" s="471"/>
      <c r="BV209" s="471"/>
      <c r="BW209" s="471"/>
      <c r="BX209" s="471"/>
      <c r="BY209" s="471"/>
      <c r="BZ209" s="471"/>
      <c r="CA209" s="471"/>
      <c r="CB209" s="471"/>
      <c r="CC209" s="471"/>
      <c r="CD209" s="471"/>
      <c r="CE209" s="471"/>
      <c r="CF209" s="471"/>
      <c r="CG209" s="471"/>
      <c r="CH209" s="471"/>
      <c r="CI209" s="471"/>
      <c r="CJ209" s="471">
        <f t="shared" si="0"/>
        <v>199725</v>
      </c>
      <c r="CK209" s="471"/>
      <c r="CL209" s="471"/>
      <c r="CM209" s="471"/>
      <c r="CN209" s="471"/>
      <c r="CO209" s="471"/>
      <c r="CP209" s="471"/>
      <c r="CQ209" s="471"/>
      <c r="CR209" s="471"/>
      <c r="CS209" s="471"/>
      <c r="CT209" s="471"/>
      <c r="CU209" s="471"/>
      <c r="CV209" s="471"/>
      <c r="CW209" s="471"/>
      <c r="CX209" s="471"/>
      <c r="CY209" s="471"/>
      <c r="CZ209" s="471"/>
      <c r="DA209" s="471"/>
    </row>
    <row r="210" spans="1:105" ht="12" customHeight="1">
      <c r="A210" s="407" t="s">
        <v>448</v>
      </c>
      <c r="B210" s="407"/>
      <c r="C210" s="407"/>
      <c r="D210" s="407"/>
      <c r="E210" s="407"/>
      <c r="F210" s="407"/>
      <c r="G210" s="407"/>
      <c r="H210" s="434" t="s">
        <v>503</v>
      </c>
      <c r="I210" s="43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435"/>
      <c r="AV210" s="435"/>
      <c r="AW210" s="435"/>
      <c r="AX210" s="435"/>
      <c r="AY210" s="435"/>
      <c r="AZ210" s="435"/>
      <c r="BA210" s="435"/>
      <c r="BB210" s="435"/>
      <c r="BC210" s="436"/>
      <c r="BD210" s="471">
        <v>45</v>
      </c>
      <c r="BE210" s="471"/>
      <c r="BF210" s="471"/>
      <c r="BG210" s="471"/>
      <c r="BH210" s="471"/>
      <c r="BI210" s="471"/>
      <c r="BJ210" s="471"/>
      <c r="BK210" s="471"/>
      <c r="BL210" s="471"/>
      <c r="BM210" s="471"/>
      <c r="BN210" s="471"/>
      <c r="BO210" s="471"/>
      <c r="BP210" s="471"/>
      <c r="BQ210" s="471"/>
      <c r="BR210" s="471"/>
      <c r="BS210" s="471"/>
      <c r="BT210" s="471">
        <v>2500</v>
      </c>
      <c r="BU210" s="471"/>
      <c r="BV210" s="471"/>
      <c r="BW210" s="471"/>
      <c r="BX210" s="471"/>
      <c r="BY210" s="471"/>
      <c r="BZ210" s="471"/>
      <c r="CA210" s="471"/>
      <c r="CB210" s="471"/>
      <c r="CC210" s="471"/>
      <c r="CD210" s="471"/>
      <c r="CE210" s="471"/>
      <c r="CF210" s="471"/>
      <c r="CG210" s="471"/>
      <c r="CH210" s="471"/>
      <c r="CI210" s="471"/>
      <c r="CJ210" s="471">
        <f t="shared" si="0"/>
        <v>112500</v>
      </c>
      <c r="CK210" s="471"/>
      <c r="CL210" s="471"/>
      <c r="CM210" s="471"/>
      <c r="CN210" s="471"/>
      <c r="CO210" s="471"/>
      <c r="CP210" s="471"/>
      <c r="CQ210" s="471"/>
      <c r="CR210" s="471"/>
      <c r="CS210" s="471"/>
      <c r="CT210" s="471"/>
      <c r="CU210" s="471"/>
      <c r="CV210" s="471"/>
      <c r="CW210" s="471"/>
      <c r="CX210" s="471"/>
      <c r="CY210" s="471"/>
      <c r="CZ210" s="471"/>
      <c r="DA210" s="471"/>
    </row>
    <row r="211" spans="1:105" ht="12" customHeight="1">
      <c r="A211" s="407" t="s">
        <v>450</v>
      </c>
      <c r="B211" s="407"/>
      <c r="C211" s="407"/>
      <c r="D211" s="407"/>
      <c r="E211" s="407"/>
      <c r="F211" s="407"/>
      <c r="G211" s="407"/>
      <c r="H211" s="434" t="s">
        <v>504</v>
      </c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6"/>
      <c r="BD211" s="471">
        <v>8</v>
      </c>
      <c r="BE211" s="471"/>
      <c r="BF211" s="471"/>
      <c r="BG211" s="471"/>
      <c r="BH211" s="471"/>
      <c r="BI211" s="471"/>
      <c r="BJ211" s="471"/>
      <c r="BK211" s="471"/>
      <c r="BL211" s="471"/>
      <c r="BM211" s="471"/>
      <c r="BN211" s="471"/>
      <c r="BO211" s="471"/>
      <c r="BP211" s="471"/>
      <c r="BQ211" s="471"/>
      <c r="BR211" s="471"/>
      <c r="BS211" s="471"/>
      <c r="BT211" s="471">
        <v>6250</v>
      </c>
      <c r="BU211" s="471"/>
      <c r="BV211" s="471"/>
      <c r="BW211" s="471"/>
      <c r="BX211" s="471"/>
      <c r="BY211" s="471"/>
      <c r="BZ211" s="471"/>
      <c r="CA211" s="471"/>
      <c r="CB211" s="471"/>
      <c r="CC211" s="471"/>
      <c r="CD211" s="471"/>
      <c r="CE211" s="471"/>
      <c r="CF211" s="471"/>
      <c r="CG211" s="471"/>
      <c r="CH211" s="471"/>
      <c r="CI211" s="471"/>
      <c r="CJ211" s="471">
        <f t="shared" si="0"/>
        <v>50000</v>
      </c>
      <c r="CK211" s="471"/>
      <c r="CL211" s="471"/>
      <c r="CM211" s="471"/>
      <c r="CN211" s="471"/>
      <c r="CO211" s="471"/>
      <c r="CP211" s="471"/>
      <c r="CQ211" s="471"/>
      <c r="CR211" s="471"/>
      <c r="CS211" s="471"/>
      <c r="CT211" s="471"/>
      <c r="CU211" s="471"/>
      <c r="CV211" s="471"/>
      <c r="CW211" s="471"/>
      <c r="CX211" s="471"/>
      <c r="CY211" s="471"/>
      <c r="CZ211" s="471"/>
      <c r="DA211" s="471"/>
    </row>
    <row r="212" spans="1:105" ht="12" customHeight="1">
      <c r="A212" s="407" t="s">
        <v>452</v>
      </c>
      <c r="B212" s="407"/>
      <c r="C212" s="407"/>
      <c r="D212" s="407"/>
      <c r="E212" s="407"/>
      <c r="F212" s="407"/>
      <c r="G212" s="407"/>
      <c r="H212" s="434" t="s">
        <v>505</v>
      </c>
      <c r="I212" s="435"/>
      <c r="J212" s="435"/>
      <c r="K212" s="435"/>
      <c r="L212" s="435"/>
      <c r="M212" s="435"/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5"/>
      <c r="Z212" s="435"/>
      <c r="AA212" s="435"/>
      <c r="AB212" s="435"/>
      <c r="AC212" s="435"/>
      <c r="AD212" s="435"/>
      <c r="AE212" s="435"/>
      <c r="AF212" s="435"/>
      <c r="AG212" s="435"/>
      <c r="AH212" s="435"/>
      <c r="AI212" s="435"/>
      <c r="AJ212" s="435"/>
      <c r="AK212" s="435"/>
      <c r="AL212" s="435"/>
      <c r="AM212" s="435"/>
      <c r="AN212" s="435"/>
      <c r="AO212" s="435"/>
      <c r="AP212" s="435"/>
      <c r="AQ212" s="435"/>
      <c r="AR212" s="435"/>
      <c r="AS212" s="435"/>
      <c r="AT212" s="435"/>
      <c r="AU212" s="435"/>
      <c r="AV212" s="435"/>
      <c r="AW212" s="435"/>
      <c r="AX212" s="435"/>
      <c r="AY212" s="435"/>
      <c r="AZ212" s="435"/>
      <c r="BA212" s="435"/>
      <c r="BB212" s="435"/>
      <c r="BC212" s="436"/>
      <c r="BD212" s="471">
        <v>210</v>
      </c>
      <c r="BE212" s="471"/>
      <c r="BF212" s="471"/>
      <c r="BG212" s="471"/>
      <c r="BH212" s="471"/>
      <c r="BI212" s="471"/>
      <c r="BJ212" s="471"/>
      <c r="BK212" s="471"/>
      <c r="BL212" s="471"/>
      <c r="BM212" s="471"/>
      <c r="BN212" s="471"/>
      <c r="BO212" s="471"/>
      <c r="BP212" s="471"/>
      <c r="BQ212" s="471"/>
      <c r="BR212" s="471"/>
      <c r="BS212" s="471"/>
      <c r="BT212" s="471">
        <v>166.67</v>
      </c>
      <c r="BU212" s="471"/>
      <c r="BV212" s="471"/>
      <c r="BW212" s="471"/>
      <c r="BX212" s="471"/>
      <c r="BY212" s="471"/>
      <c r="BZ212" s="471"/>
      <c r="CA212" s="471"/>
      <c r="CB212" s="471"/>
      <c r="CC212" s="471"/>
      <c r="CD212" s="471"/>
      <c r="CE212" s="471"/>
      <c r="CF212" s="471"/>
      <c r="CG212" s="471"/>
      <c r="CH212" s="471"/>
      <c r="CI212" s="471"/>
      <c r="CJ212" s="471">
        <f t="shared" si="0"/>
        <v>35000.7</v>
      </c>
      <c r="CK212" s="471"/>
      <c r="CL212" s="471"/>
      <c r="CM212" s="471"/>
      <c r="CN212" s="471"/>
      <c r="CO212" s="471"/>
      <c r="CP212" s="471"/>
      <c r="CQ212" s="471"/>
      <c r="CR212" s="471"/>
      <c r="CS212" s="471"/>
      <c r="CT212" s="471"/>
      <c r="CU212" s="471"/>
      <c r="CV212" s="471"/>
      <c r="CW212" s="471"/>
      <c r="CX212" s="471"/>
      <c r="CY212" s="471"/>
      <c r="CZ212" s="471"/>
      <c r="DA212" s="471"/>
    </row>
    <row r="213" spans="1:105" ht="12" customHeight="1">
      <c r="A213" s="407" t="s">
        <v>454</v>
      </c>
      <c r="B213" s="407"/>
      <c r="C213" s="407"/>
      <c r="D213" s="407"/>
      <c r="E213" s="407"/>
      <c r="F213" s="407"/>
      <c r="G213" s="407"/>
      <c r="H213" s="434" t="s">
        <v>506</v>
      </c>
      <c r="I213" s="435"/>
      <c r="J213" s="435"/>
      <c r="K213" s="435"/>
      <c r="L213" s="435"/>
      <c r="M213" s="435"/>
      <c r="N213" s="435"/>
      <c r="O213" s="435"/>
      <c r="P213" s="435"/>
      <c r="Q213" s="435"/>
      <c r="R213" s="435"/>
      <c r="S213" s="435"/>
      <c r="T213" s="435"/>
      <c r="U213" s="435"/>
      <c r="V213" s="435"/>
      <c r="W213" s="435"/>
      <c r="X213" s="435"/>
      <c r="Y213" s="435"/>
      <c r="Z213" s="435"/>
      <c r="AA213" s="435"/>
      <c r="AB213" s="435"/>
      <c r="AC213" s="435"/>
      <c r="AD213" s="435"/>
      <c r="AE213" s="435"/>
      <c r="AF213" s="435"/>
      <c r="AG213" s="435"/>
      <c r="AH213" s="435"/>
      <c r="AI213" s="435"/>
      <c r="AJ213" s="435"/>
      <c r="AK213" s="435"/>
      <c r="AL213" s="435"/>
      <c r="AM213" s="435"/>
      <c r="AN213" s="435"/>
      <c r="AO213" s="435"/>
      <c r="AP213" s="435"/>
      <c r="AQ213" s="435"/>
      <c r="AR213" s="435"/>
      <c r="AS213" s="435"/>
      <c r="AT213" s="435"/>
      <c r="AU213" s="435"/>
      <c r="AV213" s="435"/>
      <c r="AW213" s="435"/>
      <c r="AX213" s="435"/>
      <c r="AY213" s="435"/>
      <c r="AZ213" s="435"/>
      <c r="BA213" s="435"/>
      <c r="BB213" s="435"/>
      <c r="BC213" s="436"/>
      <c r="BD213" s="471">
        <v>255</v>
      </c>
      <c r="BE213" s="471"/>
      <c r="BF213" s="471"/>
      <c r="BG213" s="471"/>
      <c r="BH213" s="471"/>
      <c r="BI213" s="471"/>
      <c r="BJ213" s="471"/>
      <c r="BK213" s="471"/>
      <c r="BL213" s="471"/>
      <c r="BM213" s="471"/>
      <c r="BN213" s="471"/>
      <c r="BO213" s="471"/>
      <c r="BP213" s="471"/>
      <c r="BQ213" s="471"/>
      <c r="BR213" s="471"/>
      <c r="BS213" s="471"/>
      <c r="BT213" s="471">
        <v>89.45</v>
      </c>
      <c r="BU213" s="471"/>
      <c r="BV213" s="471"/>
      <c r="BW213" s="471"/>
      <c r="BX213" s="471"/>
      <c r="BY213" s="471"/>
      <c r="BZ213" s="471"/>
      <c r="CA213" s="471"/>
      <c r="CB213" s="471"/>
      <c r="CC213" s="471"/>
      <c r="CD213" s="471"/>
      <c r="CE213" s="471"/>
      <c r="CF213" s="471"/>
      <c r="CG213" s="471"/>
      <c r="CH213" s="471"/>
      <c r="CI213" s="471"/>
      <c r="CJ213" s="471">
        <f>BD213*BT213-2636.33</f>
        <v>20173.42</v>
      </c>
      <c r="CK213" s="471"/>
      <c r="CL213" s="471"/>
      <c r="CM213" s="471"/>
      <c r="CN213" s="471"/>
      <c r="CO213" s="471"/>
      <c r="CP213" s="471"/>
      <c r="CQ213" s="471"/>
      <c r="CR213" s="471"/>
      <c r="CS213" s="471"/>
      <c r="CT213" s="471"/>
      <c r="CU213" s="471"/>
      <c r="CV213" s="471"/>
      <c r="CW213" s="471"/>
      <c r="CX213" s="471"/>
      <c r="CY213" s="471"/>
      <c r="CZ213" s="471"/>
      <c r="DA213" s="471"/>
    </row>
    <row r="214" spans="1:105" ht="12" customHeight="1">
      <c r="A214" s="407" t="s">
        <v>456</v>
      </c>
      <c r="B214" s="407"/>
      <c r="C214" s="407"/>
      <c r="D214" s="407"/>
      <c r="E214" s="407"/>
      <c r="F214" s="407"/>
      <c r="G214" s="407"/>
      <c r="H214" s="434" t="s">
        <v>507</v>
      </c>
      <c r="I214" s="435"/>
      <c r="J214" s="435"/>
      <c r="K214" s="435"/>
      <c r="L214" s="435"/>
      <c r="M214" s="435"/>
      <c r="N214" s="435"/>
      <c r="O214" s="435"/>
      <c r="P214" s="435"/>
      <c r="Q214" s="435"/>
      <c r="R214" s="435"/>
      <c r="S214" s="435"/>
      <c r="T214" s="435"/>
      <c r="U214" s="435"/>
      <c r="V214" s="435"/>
      <c r="W214" s="435"/>
      <c r="X214" s="435"/>
      <c r="Y214" s="435"/>
      <c r="Z214" s="435"/>
      <c r="AA214" s="435"/>
      <c r="AB214" s="435"/>
      <c r="AC214" s="435"/>
      <c r="AD214" s="435"/>
      <c r="AE214" s="435"/>
      <c r="AF214" s="435"/>
      <c r="AG214" s="435"/>
      <c r="AH214" s="435"/>
      <c r="AI214" s="435"/>
      <c r="AJ214" s="435"/>
      <c r="AK214" s="435"/>
      <c r="AL214" s="435"/>
      <c r="AM214" s="435"/>
      <c r="AN214" s="435"/>
      <c r="AO214" s="435"/>
      <c r="AP214" s="435"/>
      <c r="AQ214" s="435"/>
      <c r="AR214" s="435"/>
      <c r="AS214" s="435"/>
      <c r="AT214" s="435"/>
      <c r="AU214" s="435"/>
      <c r="AV214" s="435"/>
      <c r="AW214" s="435"/>
      <c r="AX214" s="435"/>
      <c r="AY214" s="435"/>
      <c r="AZ214" s="435"/>
      <c r="BA214" s="435"/>
      <c r="BB214" s="435"/>
      <c r="BC214" s="436"/>
      <c r="BD214" s="471">
        <v>100</v>
      </c>
      <c r="BE214" s="471"/>
      <c r="BF214" s="471"/>
      <c r="BG214" s="471"/>
      <c r="BH214" s="471"/>
      <c r="BI214" s="471"/>
      <c r="BJ214" s="471"/>
      <c r="BK214" s="471"/>
      <c r="BL214" s="471"/>
      <c r="BM214" s="471"/>
      <c r="BN214" s="471"/>
      <c r="BO214" s="471"/>
      <c r="BP214" s="471"/>
      <c r="BQ214" s="471"/>
      <c r="BR214" s="471"/>
      <c r="BS214" s="471"/>
      <c r="BT214" s="471">
        <v>2806</v>
      </c>
      <c r="BU214" s="471"/>
      <c r="BV214" s="471"/>
      <c r="BW214" s="471"/>
      <c r="BX214" s="471"/>
      <c r="BY214" s="471"/>
      <c r="BZ214" s="471"/>
      <c r="CA214" s="471"/>
      <c r="CB214" s="471"/>
      <c r="CC214" s="471"/>
      <c r="CD214" s="471"/>
      <c r="CE214" s="471"/>
      <c r="CF214" s="471"/>
      <c r="CG214" s="471"/>
      <c r="CH214" s="471"/>
      <c r="CI214" s="471"/>
      <c r="CJ214" s="471">
        <f t="shared" si="0"/>
        <v>280600</v>
      </c>
      <c r="CK214" s="471"/>
      <c r="CL214" s="471"/>
      <c r="CM214" s="471"/>
      <c r="CN214" s="471"/>
      <c r="CO214" s="471"/>
      <c r="CP214" s="471"/>
      <c r="CQ214" s="471"/>
      <c r="CR214" s="471"/>
      <c r="CS214" s="471"/>
      <c r="CT214" s="471"/>
      <c r="CU214" s="471"/>
      <c r="CV214" s="471"/>
      <c r="CW214" s="471"/>
      <c r="CX214" s="471"/>
      <c r="CY214" s="471"/>
      <c r="CZ214" s="471"/>
      <c r="DA214" s="471"/>
    </row>
    <row r="215" spans="1:105" ht="12" customHeight="1">
      <c r="A215" s="407" t="s">
        <v>458</v>
      </c>
      <c r="B215" s="407"/>
      <c r="C215" s="407"/>
      <c r="D215" s="407"/>
      <c r="E215" s="407"/>
      <c r="F215" s="407"/>
      <c r="G215" s="407"/>
      <c r="H215" s="434" t="s">
        <v>508</v>
      </c>
      <c r="I215" s="435"/>
      <c r="J215" s="435"/>
      <c r="K215" s="435"/>
      <c r="L215" s="435"/>
      <c r="M215" s="435"/>
      <c r="N215" s="435"/>
      <c r="O215" s="435"/>
      <c r="P215" s="435"/>
      <c r="Q215" s="435"/>
      <c r="R215" s="435"/>
      <c r="S215" s="435"/>
      <c r="T215" s="435"/>
      <c r="U215" s="435"/>
      <c r="V215" s="435"/>
      <c r="W215" s="435"/>
      <c r="X215" s="435"/>
      <c r="Y215" s="435"/>
      <c r="Z215" s="435"/>
      <c r="AA215" s="435"/>
      <c r="AB215" s="435"/>
      <c r="AC215" s="435"/>
      <c r="AD215" s="435"/>
      <c r="AE215" s="435"/>
      <c r="AF215" s="435"/>
      <c r="AG215" s="435"/>
      <c r="AH215" s="435"/>
      <c r="AI215" s="435"/>
      <c r="AJ215" s="435"/>
      <c r="AK215" s="435"/>
      <c r="AL215" s="435"/>
      <c r="AM215" s="435"/>
      <c r="AN215" s="435"/>
      <c r="AO215" s="435"/>
      <c r="AP215" s="435"/>
      <c r="AQ215" s="435"/>
      <c r="AR215" s="435"/>
      <c r="AS215" s="435"/>
      <c r="AT215" s="435"/>
      <c r="AU215" s="435"/>
      <c r="AV215" s="435"/>
      <c r="AW215" s="435"/>
      <c r="AX215" s="435"/>
      <c r="AY215" s="435"/>
      <c r="AZ215" s="435"/>
      <c r="BA215" s="435"/>
      <c r="BB215" s="435"/>
      <c r="BC215" s="436"/>
      <c r="BD215" s="471">
        <v>7</v>
      </c>
      <c r="BE215" s="471"/>
      <c r="BF215" s="471"/>
      <c r="BG215" s="471"/>
      <c r="BH215" s="471"/>
      <c r="BI215" s="471"/>
      <c r="BJ215" s="471"/>
      <c r="BK215" s="471"/>
      <c r="BL215" s="471"/>
      <c r="BM215" s="471"/>
      <c r="BN215" s="471"/>
      <c r="BO215" s="471"/>
      <c r="BP215" s="471"/>
      <c r="BQ215" s="471"/>
      <c r="BR215" s="471"/>
      <c r="BS215" s="471"/>
      <c r="BT215" s="471">
        <v>6000</v>
      </c>
      <c r="BU215" s="471"/>
      <c r="BV215" s="471"/>
      <c r="BW215" s="471"/>
      <c r="BX215" s="471"/>
      <c r="BY215" s="471"/>
      <c r="BZ215" s="471"/>
      <c r="CA215" s="471"/>
      <c r="CB215" s="471"/>
      <c r="CC215" s="471"/>
      <c r="CD215" s="471"/>
      <c r="CE215" s="471"/>
      <c r="CF215" s="471"/>
      <c r="CG215" s="471"/>
      <c r="CH215" s="471"/>
      <c r="CI215" s="471"/>
      <c r="CJ215" s="471">
        <f t="shared" si="0"/>
        <v>42000</v>
      </c>
      <c r="CK215" s="471"/>
      <c r="CL215" s="471"/>
      <c r="CM215" s="471"/>
      <c r="CN215" s="471"/>
      <c r="CO215" s="471"/>
      <c r="CP215" s="471"/>
      <c r="CQ215" s="471"/>
      <c r="CR215" s="471"/>
      <c r="CS215" s="471"/>
      <c r="CT215" s="471"/>
      <c r="CU215" s="471"/>
      <c r="CV215" s="471"/>
      <c r="CW215" s="471"/>
      <c r="CX215" s="471"/>
      <c r="CY215" s="471"/>
      <c r="CZ215" s="471"/>
      <c r="DA215" s="471"/>
    </row>
    <row r="216" spans="1:105" ht="12" customHeight="1">
      <c r="A216" s="407" t="s">
        <v>460</v>
      </c>
      <c r="B216" s="407"/>
      <c r="C216" s="407"/>
      <c r="D216" s="407"/>
      <c r="E216" s="407"/>
      <c r="F216" s="407"/>
      <c r="G216" s="407"/>
      <c r="H216" s="434" t="s">
        <v>509</v>
      </c>
      <c r="I216" s="435"/>
      <c r="J216" s="435"/>
      <c r="K216" s="435"/>
      <c r="L216" s="435"/>
      <c r="M216" s="435"/>
      <c r="N216" s="435"/>
      <c r="O216" s="435"/>
      <c r="P216" s="435"/>
      <c r="Q216" s="435"/>
      <c r="R216" s="435"/>
      <c r="S216" s="435"/>
      <c r="T216" s="435"/>
      <c r="U216" s="435"/>
      <c r="V216" s="435"/>
      <c r="W216" s="435"/>
      <c r="X216" s="435"/>
      <c r="Y216" s="435"/>
      <c r="Z216" s="435"/>
      <c r="AA216" s="435"/>
      <c r="AB216" s="435"/>
      <c r="AC216" s="435"/>
      <c r="AD216" s="435"/>
      <c r="AE216" s="435"/>
      <c r="AF216" s="435"/>
      <c r="AG216" s="435"/>
      <c r="AH216" s="435"/>
      <c r="AI216" s="435"/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435"/>
      <c r="AV216" s="435"/>
      <c r="AW216" s="435"/>
      <c r="AX216" s="435"/>
      <c r="AY216" s="435"/>
      <c r="AZ216" s="435"/>
      <c r="BA216" s="435"/>
      <c r="BB216" s="435"/>
      <c r="BC216" s="436"/>
      <c r="BD216" s="471">
        <v>800</v>
      </c>
      <c r="BE216" s="471"/>
      <c r="BF216" s="471"/>
      <c r="BG216" s="471"/>
      <c r="BH216" s="471"/>
      <c r="BI216" s="471"/>
      <c r="BJ216" s="471"/>
      <c r="BK216" s="471"/>
      <c r="BL216" s="471"/>
      <c r="BM216" s="471"/>
      <c r="BN216" s="471"/>
      <c r="BO216" s="471"/>
      <c r="BP216" s="471"/>
      <c r="BQ216" s="471"/>
      <c r="BR216" s="471"/>
      <c r="BS216" s="471"/>
      <c r="BT216" s="471">
        <v>119.29</v>
      </c>
      <c r="BU216" s="471"/>
      <c r="BV216" s="471"/>
      <c r="BW216" s="471"/>
      <c r="BX216" s="471"/>
      <c r="BY216" s="471"/>
      <c r="BZ216" s="471"/>
      <c r="CA216" s="471"/>
      <c r="CB216" s="471"/>
      <c r="CC216" s="471"/>
      <c r="CD216" s="471"/>
      <c r="CE216" s="471"/>
      <c r="CF216" s="471"/>
      <c r="CG216" s="471"/>
      <c r="CH216" s="471"/>
      <c r="CI216" s="471"/>
      <c r="CJ216" s="471">
        <f t="shared" si="0"/>
        <v>95432</v>
      </c>
      <c r="CK216" s="471"/>
      <c r="CL216" s="471"/>
      <c r="CM216" s="471"/>
      <c r="CN216" s="471"/>
      <c r="CO216" s="471"/>
      <c r="CP216" s="471"/>
      <c r="CQ216" s="471"/>
      <c r="CR216" s="471"/>
      <c r="CS216" s="471"/>
      <c r="CT216" s="471"/>
      <c r="CU216" s="471"/>
      <c r="CV216" s="471"/>
      <c r="CW216" s="471"/>
      <c r="CX216" s="471"/>
      <c r="CY216" s="471"/>
      <c r="CZ216" s="471"/>
      <c r="DA216" s="471"/>
    </row>
    <row r="217" spans="1:105" ht="12" customHeight="1">
      <c r="A217" s="184" t="s">
        <v>462</v>
      </c>
      <c r="B217" s="185"/>
      <c r="C217" s="185"/>
      <c r="D217" s="185"/>
      <c r="E217" s="185"/>
      <c r="F217" s="185"/>
      <c r="G217" s="186"/>
      <c r="H217" s="434" t="s">
        <v>510</v>
      </c>
      <c r="I217" s="435"/>
      <c r="J217" s="435"/>
      <c r="K217" s="435"/>
      <c r="L217" s="435"/>
      <c r="M217" s="435"/>
      <c r="N217" s="435"/>
      <c r="O217" s="435"/>
      <c r="P217" s="435"/>
      <c r="Q217" s="435"/>
      <c r="R217" s="435"/>
      <c r="S217" s="435"/>
      <c r="T217" s="435"/>
      <c r="U217" s="435"/>
      <c r="V217" s="435"/>
      <c r="W217" s="435"/>
      <c r="X217" s="435"/>
      <c r="Y217" s="435"/>
      <c r="Z217" s="435"/>
      <c r="AA217" s="435"/>
      <c r="AB217" s="435"/>
      <c r="AC217" s="435"/>
      <c r="AD217" s="435"/>
      <c r="AE217" s="435"/>
      <c r="AF217" s="435"/>
      <c r="AG217" s="435"/>
      <c r="AH217" s="435"/>
      <c r="AI217" s="435"/>
      <c r="AJ217" s="435"/>
      <c r="AK217" s="435"/>
      <c r="AL217" s="435"/>
      <c r="AM217" s="435"/>
      <c r="AN217" s="435"/>
      <c r="AO217" s="435"/>
      <c r="AP217" s="435"/>
      <c r="AQ217" s="435"/>
      <c r="AR217" s="435"/>
      <c r="AS217" s="435"/>
      <c r="AT217" s="435"/>
      <c r="AU217" s="435"/>
      <c r="AV217" s="435"/>
      <c r="AW217" s="435"/>
      <c r="AX217" s="435"/>
      <c r="AY217" s="435"/>
      <c r="AZ217" s="435"/>
      <c r="BA217" s="435"/>
      <c r="BB217" s="435"/>
      <c r="BC217" s="436"/>
      <c r="BD217" s="190">
        <v>100</v>
      </c>
      <c r="BE217" s="191"/>
      <c r="BF217" s="191"/>
      <c r="BG217" s="191"/>
      <c r="BH217" s="191"/>
      <c r="BI217" s="191"/>
      <c r="BJ217" s="191"/>
      <c r="BK217" s="191"/>
      <c r="BL217" s="191"/>
      <c r="BM217" s="191"/>
      <c r="BN217" s="191"/>
      <c r="BO217" s="191"/>
      <c r="BP217" s="191"/>
      <c r="BQ217" s="191"/>
      <c r="BR217" s="191"/>
      <c r="BS217" s="192"/>
      <c r="BT217" s="190">
        <v>7250</v>
      </c>
      <c r="BU217" s="191"/>
      <c r="BV217" s="191"/>
      <c r="BW217" s="191"/>
      <c r="BX217" s="191"/>
      <c r="BY217" s="191"/>
      <c r="BZ217" s="191"/>
      <c r="CA217" s="191"/>
      <c r="CB217" s="191"/>
      <c r="CC217" s="191"/>
      <c r="CD217" s="191"/>
      <c r="CE217" s="191"/>
      <c r="CF217" s="191"/>
      <c r="CG217" s="191"/>
      <c r="CH217" s="191"/>
      <c r="CI217" s="192"/>
      <c r="CJ217" s="190">
        <f t="shared" si="0"/>
        <v>725000</v>
      </c>
      <c r="CK217" s="191"/>
      <c r="CL217" s="191"/>
      <c r="CM217" s="191"/>
      <c r="CN217" s="191"/>
      <c r="CO217" s="191"/>
      <c r="CP217" s="191"/>
      <c r="CQ217" s="191"/>
      <c r="CR217" s="191"/>
      <c r="CS217" s="191"/>
      <c r="CT217" s="191"/>
      <c r="CU217" s="191"/>
      <c r="CV217" s="191"/>
      <c r="CW217" s="191"/>
      <c r="CX217" s="191"/>
      <c r="CY217" s="191"/>
      <c r="CZ217" s="191"/>
      <c r="DA217" s="192"/>
    </row>
    <row r="218" spans="1:105" ht="12" customHeight="1">
      <c r="A218" s="407"/>
      <c r="B218" s="407"/>
      <c r="C218" s="407"/>
      <c r="D218" s="407"/>
      <c r="E218" s="407"/>
      <c r="F218" s="407"/>
      <c r="G218" s="407"/>
      <c r="H218" s="477" t="s">
        <v>233</v>
      </c>
      <c r="I218" s="478"/>
      <c r="J218" s="478"/>
      <c r="K218" s="478"/>
      <c r="L218" s="478"/>
      <c r="M218" s="478"/>
      <c r="N218" s="478"/>
      <c r="O218" s="478"/>
      <c r="P218" s="478"/>
      <c r="Q218" s="478"/>
      <c r="R218" s="478"/>
      <c r="S218" s="478"/>
      <c r="T218" s="478"/>
      <c r="U218" s="478"/>
      <c r="V218" s="478"/>
      <c r="W218" s="478"/>
      <c r="X218" s="478"/>
      <c r="Y218" s="478"/>
      <c r="Z218" s="478"/>
      <c r="AA218" s="478"/>
      <c r="AB218" s="478"/>
      <c r="AC218" s="478"/>
      <c r="AD218" s="478"/>
      <c r="AE218" s="478"/>
      <c r="AF218" s="478"/>
      <c r="AG218" s="478"/>
      <c r="AH218" s="478"/>
      <c r="AI218" s="478"/>
      <c r="AJ218" s="478"/>
      <c r="AK218" s="478"/>
      <c r="AL218" s="478"/>
      <c r="AM218" s="478"/>
      <c r="AN218" s="478"/>
      <c r="AO218" s="478"/>
      <c r="AP218" s="478"/>
      <c r="AQ218" s="478"/>
      <c r="AR218" s="478"/>
      <c r="AS218" s="478"/>
      <c r="AT218" s="478"/>
      <c r="AU218" s="478"/>
      <c r="AV218" s="478"/>
      <c r="AW218" s="478"/>
      <c r="AX218" s="478"/>
      <c r="AY218" s="478"/>
      <c r="AZ218" s="478"/>
      <c r="BA218" s="478"/>
      <c r="BB218" s="478"/>
      <c r="BC218" s="479"/>
      <c r="BD218" s="409"/>
      <c r="BE218" s="409"/>
      <c r="BF218" s="409"/>
      <c r="BG218" s="409"/>
      <c r="BH218" s="409"/>
      <c r="BI218" s="409"/>
      <c r="BJ218" s="409"/>
      <c r="BK218" s="409"/>
      <c r="BL218" s="409"/>
      <c r="BM218" s="409"/>
      <c r="BN218" s="409"/>
      <c r="BO218" s="409"/>
      <c r="BP218" s="409"/>
      <c r="BQ218" s="409"/>
      <c r="BR218" s="409"/>
      <c r="BS218" s="409"/>
      <c r="BT218" s="409" t="s">
        <v>234</v>
      </c>
      <c r="BU218" s="409"/>
      <c r="BV218" s="409"/>
      <c r="BW218" s="409"/>
      <c r="BX218" s="409"/>
      <c r="BY218" s="409"/>
      <c r="BZ218" s="409"/>
      <c r="CA218" s="409"/>
      <c r="CB218" s="409"/>
      <c r="CC218" s="409"/>
      <c r="CD218" s="409"/>
      <c r="CE218" s="409"/>
      <c r="CF218" s="409"/>
      <c r="CG218" s="409"/>
      <c r="CH218" s="409"/>
      <c r="CI218" s="409"/>
      <c r="CJ218" s="490">
        <f>SUM(CJ183:CJ217)</f>
        <v>9708000</v>
      </c>
      <c r="CK218" s="413"/>
      <c r="CL218" s="413"/>
      <c r="CM218" s="413"/>
      <c r="CN218" s="413"/>
      <c r="CO218" s="413"/>
      <c r="CP218" s="413"/>
      <c r="CQ218" s="413"/>
      <c r="CR218" s="413"/>
      <c r="CS218" s="413"/>
      <c r="CT218" s="413"/>
      <c r="CU218" s="413"/>
      <c r="CV218" s="413"/>
      <c r="CW218" s="413"/>
      <c r="CX218" s="413"/>
      <c r="CY218" s="413"/>
      <c r="CZ218" s="413"/>
      <c r="DA218" s="413"/>
    </row>
    <row r="219" ht="12" customHeight="1">
      <c r="CZ219" s="109"/>
    </row>
    <row r="220" spans="1:105" ht="25.5" customHeight="1">
      <c r="A220" s="439" t="s">
        <v>511</v>
      </c>
      <c r="B220" s="439"/>
      <c r="C220" s="439"/>
      <c r="D220" s="439"/>
      <c r="E220" s="439"/>
      <c r="F220" s="439"/>
      <c r="G220" s="439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  <c r="T220" s="439"/>
      <c r="U220" s="439"/>
      <c r="V220" s="439"/>
      <c r="W220" s="439"/>
      <c r="X220" s="439"/>
      <c r="Y220" s="439"/>
      <c r="Z220" s="439"/>
      <c r="AA220" s="439"/>
      <c r="AB220" s="439"/>
      <c r="AC220" s="439"/>
      <c r="AD220" s="439"/>
      <c r="AE220" s="439"/>
      <c r="AF220" s="439"/>
      <c r="AG220" s="439"/>
      <c r="AH220" s="439"/>
      <c r="AI220" s="439"/>
      <c r="AJ220" s="439"/>
      <c r="AK220" s="439"/>
      <c r="AL220" s="439"/>
      <c r="AM220" s="439"/>
      <c r="AN220" s="439"/>
      <c r="AO220" s="439"/>
      <c r="AP220" s="439"/>
      <c r="AQ220" s="439"/>
      <c r="AR220" s="439"/>
      <c r="AS220" s="439"/>
      <c r="AT220" s="439"/>
      <c r="AU220" s="439"/>
      <c r="AV220" s="439"/>
      <c r="AW220" s="439"/>
      <c r="AX220" s="439"/>
      <c r="AY220" s="439"/>
      <c r="AZ220" s="439"/>
      <c r="BA220" s="439"/>
      <c r="BB220" s="439"/>
      <c r="BC220" s="439"/>
      <c r="BD220" s="439"/>
      <c r="BE220" s="439"/>
      <c r="BF220" s="439"/>
      <c r="BG220" s="439"/>
      <c r="BH220" s="439"/>
      <c r="BI220" s="439"/>
      <c r="BJ220" s="439"/>
      <c r="BK220" s="439"/>
      <c r="BL220" s="439"/>
      <c r="BM220" s="439"/>
      <c r="BN220" s="439"/>
      <c r="BO220" s="439"/>
      <c r="BP220" s="439"/>
      <c r="BQ220" s="439"/>
      <c r="BR220" s="439"/>
      <c r="BS220" s="439"/>
      <c r="BT220" s="439"/>
      <c r="BU220" s="439"/>
      <c r="BV220" s="439"/>
      <c r="BW220" s="439"/>
      <c r="BX220" s="439"/>
      <c r="BY220" s="439"/>
      <c r="BZ220" s="439"/>
      <c r="CA220" s="439"/>
      <c r="CB220" s="439"/>
      <c r="CC220" s="439"/>
      <c r="CD220" s="439"/>
      <c r="CE220" s="439"/>
      <c r="CF220" s="439"/>
      <c r="CG220" s="439"/>
      <c r="CH220" s="439"/>
      <c r="CI220" s="439"/>
      <c r="CJ220" s="439"/>
      <c r="CK220" s="439"/>
      <c r="CL220" s="439"/>
      <c r="CM220" s="439"/>
      <c r="CN220" s="439"/>
      <c r="CO220" s="439"/>
      <c r="CP220" s="439"/>
      <c r="CQ220" s="439"/>
      <c r="CR220" s="439"/>
      <c r="CS220" s="439"/>
      <c r="CT220" s="439"/>
      <c r="CU220" s="439"/>
      <c r="CV220" s="439"/>
      <c r="CW220" s="439"/>
      <c r="CX220" s="439"/>
      <c r="CY220" s="439"/>
      <c r="CZ220" s="439"/>
      <c r="DA220" s="439"/>
    </row>
    <row r="222" spans="1:105" ht="12" customHeight="1">
      <c r="A222" s="419" t="s">
        <v>192</v>
      </c>
      <c r="B222" s="420"/>
      <c r="C222" s="420"/>
      <c r="D222" s="420"/>
      <c r="E222" s="420"/>
      <c r="F222" s="420"/>
      <c r="G222" s="421"/>
      <c r="H222" s="201" t="s">
        <v>273</v>
      </c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3"/>
      <c r="BD222" s="419" t="s">
        <v>295</v>
      </c>
      <c r="BE222" s="420"/>
      <c r="BF222" s="420"/>
      <c r="BG222" s="420"/>
      <c r="BH222" s="420"/>
      <c r="BI222" s="420"/>
      <c r="BJ222" s="420"/>
      <c r="BK222" s="420"/>
      <c r="BL222" s="420"/>
      <c r="BM222" s="420"/>
      <c r="BN222" s="420"/>
      <c r="BO222" s="420"/>
      <c r="BP222" s="420"/>
      <c r="BQ222" s="420"/>
      <c r="BR222" s="420"/>
      <c r="BS222" s="421"/>
      <c r="BT222" s="419" t="s">
        <v>306</v>
      </c>
      <c r="BU222" s="420"/>
      <c r="BV222" s="420"/>
      <c r="BW222" s="420"/>
      <c r="BX222" s="420"/>
      <c r="BY222" s="420"/>
      <c r="BZ222" s="420"/>
      <c r="CA222" s="420"/>
      <c r="CB222" s="420"/>
      <c r="CC222" s="420"/>
      <c r="CD222" s="420"/>
      <c r="CE222" s="420"/>
      <c r="CF222" s="420"/>
      <c r="CG222" s="420"/>
      <c r="CH222" s="420"/>
      <c r="CI222" s="421"/>
      <c r="CJ222" s="419" t="s">
        <v>307</v>
      </c>
      <c r="CK222" s="420"/>
      <c r="CL222" s="420"/>
      <c r="CM222" s="420"/>
      <c r="CN222" s="420"/>
      <c r="CO222" s="420"/>
      <c r="CP222" s="420"/>
      <c r="CQ222" s="420"/>
      <c r="CR222" s="420"/>
      <c r="CS222" s="420"/>
      <c r="CT222" s="420"/>
      <c r="CU222" s="420"/>
      <c r="CV222" s="420"/>
      <c r="CW222" s="420"/>
      <c r="CX222" s="420"/>
      <c r="CY222" s="420"/>
      <c r="CZ222" s="420"/>
      <c r="DA222" s="421"/>
    </row>
    <row r="223" spans="1:105" ht="12" customHeight="1">
      <c r="A223" s="416"/>
      <c r="B223" s="416"/>
      <c r="C223" s="416"/>
      <c r="D223" s="416"/>
      <c r="E223" s="416"/>
      <c r="F223" s="416"/>
      <c r="G223" s="416"/>
      <c r="H223" s="196">
        <v>1</v>
      </c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  <c r="AG223" s="197"/>
      <c r="AH223" s="197"/>
      <c r="AI223" s="197"/>
      <c r="AJ223" s="197"/>
      <c r="AK223" s="197"/>
      <c r="AL223" s="197"/>
      <c r="AM223" s="197"/>
      <c r="AN223" s="197"/>
      <c r="AO223" s="197"/>
      <c r="AP223" s="197"/>
      <c r="AQ223" s="197"/>
      <c r="AR223" s="197"/>
      <c r="AS223" s="197"/>
      <c r="AT223" s="197"/>
      <c r="AU223" s="197"/>
      <c r="AV223" s="197"/>
      <c r="AW223" s="197"/>
      <c r="AX223" s="197"/>
      <c r="AY223" s="197"/>
      <c r="AZ223" s="197"/>
      <c r="BA223" s="197"/>
      <c r="BB223" s="197"/>
      <c r="BC223" s="198"/>
      <c r="BD223" s="416">
        <v>2</v>
      </c>
      <c r="BE223" s="416"/>
      <c r="BF223" s="416"/>
      <c r="BG223" s="416"/>
      <c r="BH223" s="416"/>
      <c r="BI223" s="416"/>
      <c r="BJ223" s="416"/>
      <c r="BK223" s="416"/>
      <c r="BL223" s="416"/>
      <c r="BM223" s="416"/>
      <c r="BN223" s="416"/>
      <c r="BO223" s="416"/>
      <c r="BP223" s="416"/>
      <c r="BQ223" s="416"/>
      <c r="BR223" s="416"/>
      <c r="BS223" s="416"/>
      <c r="BT223" s="416">
        <v>3</v>
      </c>
      <c r="BU223" s="416"/>
      <c r="BV223" s="416"/>
      <c r="BW223" s="416"/>
      <c r="BX223" s="416"/>
      <c r="BY223" s="416"/>
      <c r="BZ223" s="416"/>
      <c r="CA223" s="416"/>
      <c r="CB223" s="416"/>
      <c r="CC223" s="416"/>
      <c r="CD223" s="416"/>
      <c r="CE223" s="416"/>
      <c r="CF223" s="416"/>
      <c r="CG223" s="416"/>
      <c r="CH223" s="416"/>
      <c r="CI223" s="416"/>
      <c r="CJ223" s="416">
        <v>4</v>
      </c>
      <c r="CK223" s="416"/>
      <c r="CL223" s="416"/>
      <c r="CM223" s="416"/>
      <c r="CN223" s="416"/>
      <c r="CO223" s="416"/>
      <c r="CP223" s="416"/>
      <c r="CQ223" s="416"/>
      <c r="CR223" s="416"/>
      <c r="CS223" s="416"/>
      <c r="CT223" s="416"/>
      <c r="CU223" s="416"/>
      <c r="CV223" s="416"/>
      <c r="CW223" s="416"/>
      <c r="CX223" s="416"/>
      <c r="CY223" s="416"/>
      <c r="CZ223" s="416"/>
      <c r="DA223" s="416"/>
    </row>
    <row r="224" spans="1:105" ht="12" customHeight="1">
      <c r="A224" s="407" t="s">
        <v>169</v>
      </c>
      <c r="B224" s="407"/>
      <c r="C224" s="407"/>
      <c r="D224" s="407"/>
      <c r="E224" s="407"/>
      <c r="F224" s="407"/>
      <c r="G224" s="407"/>
      <c r="H224" s="434" t="s">
        <v>512</v>
      </c>
      <c r="I224" s="435"/>
      <c r="J224" s="435"/>
      <c r="K224" s="435"/>
      <c r="L224" s="435"/>
      <c r="M224" s="435"/>
      <c r="N224" s="435"/>
      <c r="O224" s="435"/>
      <c r="P224" s="435"/>
      <c r="Q224" s="435"/>
      <c r="R224" s="435"/>
      <c r="S224" s="435"/>
      <c r="T224" s="435"/>
      <c r="U224" s="435"/>
      <c r="V224" s="435"/>
      <c r="W224" s="435"/>
      <c r="X224" s="435"/>
      <c r="Y224" s="435"/>
      <c r="Z224" s="435"/>
      <c r="AA224" s="435"/>
      <c r="AB224" s="435"/>
      <c r="AC224" s="435"/>
      <c r="AD224" s="435"/>
      <c r="AE224" s="435"/>
      <c r="AF224" s="435"/>
      <c r="AG224" s="435"/>
      <c r="AH224" s="435"/>
      <c r="AI224" s="435"/>
      <c r="AJ224" s="435"/>
      <c r="AK224" s="435"/>
      <c r="AL224" s="435"/>
      <c r="AM224" s="435"/>
      <c r="AN224" s="435"/>
      <c r="AO224" s="435"/>
      <c r="AP224" s="435"/>
      <c r="AQ224" s="435"/>
      <c r="AR224" s="435"/>
      <c r="AS224" s="435"/>
      <c r="AT224" s="435"/>
      <c r="AU224" s="435"/>
      <c r="AV224" s="435"/>
      <c r="AW224" s="435"/>
      <c r="AX224" s="435"/>
      <c r="AY224" s="435"/>
      <c r="AZ224" s="435"/>
      <c r="BA224" s="435"/>
      <c r="BB224" s="435"/>
      <c r="BC224" s="436"/>
      <c r="BD224" s="409">
        <v>100</v>
      </c>
      <c r="BE224" s="409"/>
      <c r="BF224" s="409"/>
      <c r="BG224" s="409"/>
      <c r="BH224" s="409"/>
      <c r="BI224" s="409"/>
      <c r="BJ224" s="409"/>
      <c r="BK224" s="409"/>
      <c r="BL224" s="409"/>
      <c r="BM224" s="409"/>
      <c r="BN224" s="409"/>
      <c r="BO224" s="409"/>
      <c r="BP224" s="409"/>
      <c r="BQ224" s="409"/>
      <c r="BR224" s="409"/>
      <c r="BS224" s="409"/>
      <c r="BT224" s="471">
        <v>2950</v>
      </c>
      <c r="BU224" s="471"/>
      <c r="BV224" s="471"/>
      <c r="BW224" s="471"/>
      <c r="BX224" s="471"/>
      <c r="BY224" s="471"/>
      <c r="BZ224" s="471"/>
      <c r="CA224" s="471"/>
      <c r="CB224" s="471"/>
      <c r="CC224" s="471"/>
      <c r="CD224" s="471"/>
      <c r="CE224" s="471"/>
      <c r="CF224" s="471"/>
      <c r="CG224" s="471"/>
      <c r="CH224" s="471"/>
      <c r="CI224" s="471"/>
      <c r="CJ224" s="471">
        <f>BT224*BD224-14000</f>
        <v>281000</v>
      </c>
      <c r="CK224" s="471"/>
      <c r="CL224" s="471"/>
      <c r="CM224" s="471"/>
      <c r="CN224" s="471"/>
      <c r="CO224" s="471"/>
      <c r="CP224" s="471"/>
      <c r="CQ224" s="471"/>
      <c r="CR224" s="471"/>
      <c r="CS224" s="471"/>
      <c r="CT224" s="471"/>
      <c r="CU224" s="471"/>
      <c r="CV224" s="471"/>
      <c r="CW224" s="471"/>
      <c r="CX224" s="471"/>
      <c r="CY224" s="471"/>
      <c r="CZ224" s="471"/>
      <c r="DA224" s="471"/>
    </row>
    <row r="225" spans="1:105" ht="12" customHeight="1">
      <c r="A225" s="407" t="s">
        <v>37</v>
      </c>
      <c r="B225" s="407"/>
      <c r="C225" s="407"/>
      <c r="D225" s="407"/>
      <c r="E225" s="407"/>
      <c r="F225" s="407"/>
      <c r="G225" s="407"/>
      <c r="H225" s="434" t="s">
        <v>513</v>
      </c>
      <c r="I225" s="435"/>
      <c r="J225" s="435"/>
      <c r="K225" s="435"/>
      <c r="L225" s="435"/>
      <c r="M225" s="435"/>
      <c r="N225" s="435"/>
      <c r="O225" s="435"/>
      <c r="P225" s="435"/>
      <c r="Q225" s="435"/>
      <c r="R225" s="435"/>
      <c r="S225" s="435"/>
      <c r="T225" s="435"/>
      <c r="U225" s="435"/>
      <c r="V225" s="435"/>
      <c r="W225" s="435"/>
      <c r="X225" s="435"/>
      <c r="Y225" s="435"/>
      <c r="Z225" s="435"/>
      <c r="AA225" s="435"/>
      <c r="AB225" s="435"/>
      <c r="AC225" s="435"/>
      <c r="AD225" s="435"/>
      <c r="AE225" s="435"/>
      <c r="AF225" s="435"/>
      <c r="AG225" s="435"/>
      <c r="AH225" s="435"/>
      <c r="AI225" s="435"/>
      <c r="AJ225" s="435"/>
      <c r="AK225" s="435"/>
      <c r="AL225" s="435"/>
      <c r="AM225" s="435"/>
      <c r="AN225" s="435"/>
      <c r="AO225" s="435"/>
      <c r="AP225" s="435"/>
      <c r="AQ225" s="435"/>
      <c r="AR225" s="435"/>
      <c r="AS225" s="435"/>
      <c r="AT225" s="435"/>
      <c r="AU225" s="435"/>
      <c r="AV225" s="435"/>
      <c r="AW225" s="435"/>
      <c r="AX225" s="435"/>
      <c r="AY225" s="435"/>
      <c r="AZ225" s="435"/>
      <c r="BA225" s="435"/>
      <c r="BB225" s="435"/>
      <c r="BC225" s="436"/>
      <c r="BD225" s="409">
        <v>23</v>
      </c>
      <c r="BE225" s="409"/>
      <c r="BF225" s="409"/>
      <c r="BG225" s="409"/>
      <c r="BH225" s="409"/>
      <c r="BI225" s="409"/>
      <c r="BJ225" s="409"/>
      <c r="BK225" s="409"/>
      <c r="BL225" s="409"/>
      <c r="BM225" s="409"/>
      <c r="BN225" s="409"/>
      <c r="BO225" s="409"/>
      <c r="BP225" s="409"/>
      <c r="BQ225" s="409"/>
      <c r="BR225" s="409"/>
      <c r="BS225" s="409"/>
      <c r="BT225" s="471">
        <v>3000</v>
      </c>
      <c r="BU225" s="471"/>
      <c r="BV225" s="471"/>
      <c r="BW225" s="471"/>
      <c r="BX225" s="471"/>
      <c r="BY225" s="471"/>
      <c r="BZ225" s="471"/>
      <c r="CA225" s="471"/>
      <c r="CB225" s="471"/>
      <c r="CC225" s="471"/>
      <c r="CD225" s="471"/>
      <c r="CE225" s="471"/>
      <c r="CF225" s="471"/>
      <c r="CG225" s="471"/>
      <c r="CH225" s="471"/>
      <c r="CI225" s="471"/>
      <c r="CJ225" s="471">
        <f>BT225*BD225</f>
        <v>69000</v>
      </c>
      <c r="CK225" s="471"/>
      <c r="CL225" s="471"/>
      <c r="CM225" s="471"/>
      <c r="CN225" s="471"/>
      <c r="CO225" s="471"/>
      <c r="CP225" s="471"/>
      <c r="CQ225" s="471"/>
      <c r="CR225" s="471"/>
      <c r="CS225" s="471"/>
      <c r="CT225" s="471"/>
      <c r="CU225" s="471"/>
      <c r="CV225" s="471"/>
      <c r="CW225" s="471"/>
      <c r="CX225" s="471"/>
      <c r="CY225" s="471"/>
      <c r="CZ225" s="471"/>
      <c r="DA225" s="471"/>
    </row>
    <row r="226" spans="1:105" ht="12" customHeight="1">
      <c r="A226" s="407" t="s">
        <v>38</v>
      </c>
      <c r="B226" s="407"/>
      <c r="C226" s="407"/>
      <c r="D226" s="407"/>
      <c r="E226" s="407"/>
      <c r="F226" s="407"/>
      <c r="G226" s="407"/>
      <c r="H226" s="434" t="s">
        <v>514</v>
      </c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  <c r="AA226" s="435"/>
      <c r="AB226" s="435"/>
      <c r="AC226" s="435"/>
      <c r="AD226" s="435"/>
      <c r="AE226" s="435"/>
      <c r="AF226" s="435"/>
      <c r="AG226" s="435"/>
      <c r="AH226" s="435"/>
      <c r="AI226" s="435"/>
      <c r="AJ226" s="435"/>
      <c r="AK226" s="435"/>
      <c r="AL226" s="435"/>
      <c r="AM226" s="435"/>
      <c r="AN226" s="435"/>
      <c r="AO226" s="435"/>
      <c r="AP226" s="435"/>
      <c r="AQ226" s="435"/>
      <c r="AR226" s="435"/>
      <c r="AS226" s="435"/>
      <c r="AT226" s="435"/>
      <c r="AU226" s="435"/>
      <c r="AV226" s="435"/>
      <c r="AW226" s="435"/>
      <c r="AX226" s="435"/>
      <c r="AY226" s="435"/>
      <c r="AZ226" s="435"/>
      <c r="BA226" s="435"/>
      <c r="BB226" s="435"/>
      <c r="BC226" s="436"/>
      <c r="BD226" s="409">
        <v>100</v>
      </c>
      <c r="BE226" s="409"/>
      <c r="BF226" s="409"/>
      <c r="BG226" s="409"/>
      <c r="BH226" s="409"/>
      <c r="BI226" s="409"/>
      <c r="BJ226" s="409"/>
      <c r="BK226" s="409"/>
      <c r="BL226" s="409"/>
      <c r="BM226" s="409"/>
      <c r="BN226" s="409"/>
      <c r="BO226" s="409"/>
      <c r="BP226" s="409"/>
      <c r="BQ226" s="409"/>
      <c r="BR226" s="409"/>
      <c r="BS226" s="409"/>
      <c r="BT226" s="471">
        <v>3000</v>
      </c>
      <c r="BU226" s="471"/>
      <c r="BV226" s="471"/>
      <c r="BW226" s="471"/>
      <c r="BX226" s="471"/>
      <c r="BY226" s="471"/>
      <c r="BZ226" s="471"/>
      <c r="CA226" s="471"/>
      <c r="CB226" s="471"/>
      <c r="CC226" s="471"/>
      <c r="CD226" s="471"/>
      <c r="CE226" s="471"/>
      <c r="CF226" s="471"/>
      <c r="CG226" s="471"/>
      <c r="CH226" s="471"/>
      <c r="CI226" s="471"/>
      <c r="CJ226" s="471">
        <f>BT226*BD226</f>
        <v>300000</v>
      </c>
      <c r="CK226" s="471"/>
      <c r="CL226" s="471"/>
      <c r="CM226" s="471"/>
      <c r="CN226" s="471"/>
      <c r="CO226" s="471"/>
      <c r="CP226" s="471"/>
      <c r="CQ226" s="471"/>
      <c r="CR226" s="471"/>
      <c r="CS226" s="471"/>
      <c r="CT226" s="471"/>
      <c r="CU226" s="471"/>
      <c r="CV226" s="471"/>
      <c r="CW226" s="471"/>
      <c r="CX226" s="471"/>
      <c r="CY226" s="471"/>
      <c r="CZ226" s="471"/>
      <c r="DA226" s="471"/>
    </row>
    <row r="227" spans="1:105" ht="12" customHeight="1">
      <c r="A227" s="407" t="s">
        <v>319</v>
      </c>
      <c r="B227" s="407"/>
      <c r="C227" s="407"/>
      <c r="D227" s="407"/>
      <c r="E227" s="407"/>
      <c r="F227" s="407"/>
      <c r="G227" s="407"/>
      <c r="H227" s="434" t="s">
        <v>515</v>
      </c>
      <c r="I227" s="435"/>
      <c r="J227" s="435"/>
      <c r="K227" s="435"/>
      <c r="L227" s="435"/>
      <c r="M227" s="435"/>
      <c r="N227" s="435"/>
      <c r="O227" s="435"/>
      <c r="P227" s="435"/>
      <c r="Q227" s="435"/>
      <c r="R227" s="435"/>
      <c r="S227" s="435"/>
      <c r="T227" s="435"/>
      <c r="U227" s="435"/>
      <c r="V227" s="435"/>
      <c r="W227" s="435"/>
      <c r="X227" s="435"/>
      <c r="Y227" s="435"/>
      <c r="Z227" s="435"/>
      <c r="AA227" s="435"/>
      <c r="AB227" s="435"/>
      <c r="AC227" s="435"/>
      <c r="AD227" s="435"/>
      <c r="AE227" s="435"/>
      <c r="AF227" s="435"/>
      <c r="AG227" s="435"/>
      <c r="AH227" s="435"/>
      <c r="AI227" s="435"/>
      <c r="AJ227" s="435"/>
      <c r="AK227" s="435"/>
      <c r="AL227" s="435"/>
      <c r="AM227" s="435"/>
      <c r="AN227" s="435"/>
      <c r="AO227" s="435"/>
      <c r="AP227" s="435"/>
      <c r="AQ227" s="435"/>
      <c r="AR227" s="435"/>
      <c r="AS227" s="435"/>
      <c r="AT227" s="435"/>
      <c r="AU227" s="435"/>
      <c r="AV227" s="435"/>
      <c r="AW227" s="435"/>
      <c r="AX227" s="435"/>
      <c r="AY227" s="435"/>
      <c r="AZ227" s="435"/>
      <c r="BA227" s="435"/>
      <c r="BB227" s="435"/>
      <c r="BC227" s="436"/>
      <c r="BD227" s="409">
        <v>70</v>
      </c>
      <c r="BE227" s="409"/>
      <c r="BF227" s="409"/>
      <c r="BG227" s="409"/>
      <c r="BH227" s="409"/>
      <c r="BI227" s="409"/>
      <c r="BJ227" s="409"/>
      <c r="BK227" s="409"/>
      <c r="BL227" s="409"/>
      <c r="BM227" s="409"/>
      <c r="BN227" s="409"/>
      <c r="BO227" s="409"/>
      <c r="BP227" s="409"/>
      <c r="BQ227" s="409"/>
      <c r="BR227" s="409"/>
      <c r="BS227" s="409"/>
      <c r="BT227" s="471">
        <v>5000</v>
      </c>
      <c r="BU227" s="471"/>
      <c r="BV227" s="471"/>
      <c r="BW227" s="471"/>
      <c r="BX227" s="471"/>
      <c r="BY227" s="471"/>
      <c r="BZ227" s="471"/>
      <c r="CA227" s="471"/>
      <c r="CB227" s="471"/>
      <c r="CC227" s="471"/>
      <c r="CD227" s="471"/>
      <c r="CE227" s="471"/>
      <c r="CF227" s="471"/>
      <c r="CG227" s="471"/>
      <c r="CH227" s="471"/>
      <c r="CI227" s="471"/>
      <c r="CJ227" s="471">
        <f>BT227*BD227</f>
        <v>350000</v>
      </c>
      <c r="CK227" s="471"/>
      <c r="CL227" s="471"/>
      <c r="CM227" s="471"/>
      <c r="CN227" s="471"/>
      <c r="CO227" s="471"/>
      <c r="CP227" s="471"/>
      <c r="CQ227" s="471"/>
      <c r="CR227" s="471"/>
      <c r="CS227" s="471"/>
      <c r="CT227" s="471"/>
      <c r="CU227" s="471"/>
      <c r="CV227" s="471"/>
      <c r="CW227" s="471"/>
      <c r="CX227" s="471"/>
      <c r="CY227" s="471"/>
      <c r="CZ227" s="471"/>
      <c r="DA227" s="471"/>
    </row>
    <row r="228" spans="1:105" ht="12" customHeight="1">
      <c r="A228" s="407"/>
      <c r="B228" s="407"/>
      <c r="C228" s="407"/>
      <c r="D228" s="407"/>
      <c r="E228" s="407"/>
      <c r="F228" s="407"/>
      <c r="G228" s="407"/>
      <c r="H228" s="477" t="s">
        <v>233</v>
      </c>
      <c r="I228" s="478"/>
      <c r="J228" s="478"/>
      <c r="K228" s="478"/>
      <c r="L228" s="478"/>
      <c r="M228" s="478"/>
      <c r="N228" s="478"/>
      <c r="O228" s="478"/>
      <c r="P228" s="478"/>
      <c r="Q228" s="478"/>
      <c r="R228" s="478"/>
      <c r="S228" s="478"/>
      <c r="T228" s="478"/>
      <c r="U228" s="478"/>
      <c r="V228" s="478"/>
      <c r="W228" s="478"/>
      <c r="X228" s="478"/>
      <c r="Y228" s="478"/>
      <c r="Z228" s="478"/>
      <c r="AA228" s="478"/>
      <c r="AB228" s="478"/>
      <c r="AC228" s="478"/>
      <c r="AD228" s="478"/>
      <c r="AE228" s="478"/>
      <c r="AF228" s="478"/>
      <c r="AG228" s="478"/>
      <c r="AH228" s="478"/>
      <c r="AI228" s="478"/>
      <c r="AJ228" s="478"/>
      <c r="AK228" s="478"/>
      <c r="AL228" s="478"/>
      <c r="AM228" s="478"/>
      <c r="AN228" s="478"/>
      <c r="AO228" s="478"/>
      <c r="AP228" s="478"/>
      <c r="AQ228" s="478"/>
      <c r="AR228" s="478"/>
      <c r="AS228" s="478"/>
      <c r="AT228" s="478"/>
      <c r="AU228" s="478"/>
      <c r="AV228" s="478"/>
      <c r="AW228" s="478"/>
      <c r="AX228" s="478"/>
      <c r="AY228" s="478"/>
      <c r="AZ228" s="478"/>
      <c r="BA228" s="478"/>
      <c r="BB228" s="478"/>
      <c r="BC228" s="479"/>
      <c r="BD228" s="409"/>
      <c r="BE228" s="409"/>
      <c r="BF228" s="409"/>
      <c r="BG228" s="409"/>
      <c r="BH228" s="409"/>
      <c r="BI228" s="409"/>
      <c r="BJ228" s="409"/>
      <c r="BK228" s="409"/>
      <c r="BL228" s="409"/>
      <c r="BM228" s="409"/>
      <c r="BN228" s="409"/>
      <c r="BO228" s="409"/>
      <c r="BP228" s="409"/>
      <c r="BQ228" s="409"/>
      <c r="BR228" s="409"/>
      <c r="BS228" s="409"/>
      <c r="BT228" s="409" t="s">
        <v>234</v>
      </c>
      <c r="BU228" s="409"/>
      <c r="BV228" s="409"/>
      <c r="BW228" s="409"/>
      <c r="BX228" s="409"/>
      <c r="BY228" s="409"/>
      <c r="BZ228" s="409"/>
      <c r="CA228" s="409"/>
      <c r="CB228" s="409"/>
      <c r="CC228" s="409"/>
      <c r="CD228" s="409"/>
      <c r="CE228" s="409"/>
      <c r="CF228" s="409"/>
      <c r="CG228" s="409"/>
      <c r="CH228" s="409"/>
      <c r="CI228" s="409"/>
      <c r="CJ228" s="490">
        <f>SUM(CJ224:CJ227)</f>
        <v>1000000</v>
      </c>
      <c r="CK228" s="413"/>
      <c r="CL228" s="413"/>
      <c r="CM228" s="413"/>
      <c r="CN228" s="413"/>
      <c r="CO228" s="413"/>
      <c r="CP228" s="413"/>
      <c r="CQ228" s="413"/>
      <c r="CR228" s="413"/>
      <c r="CS228" s="413"/>
      <c r="CT228" s="413"/>
      <c r="CU228" s="413"/>
      <c r="CV228" s="413"/>
      <c r="CW228" s="413"/>
      <c r="CX228" s="413"/>
      <c r="CY228" s="413"/>
      <c r="CZ228" s="413"/>
      <c r="DA228" s="413"/>
    </row>
  </sheetData>
  <sheetProtection/>
  <mergeCells count="916">
    <mergeCell ref="A227:G227"/>
    <mergeCell ref="H227:BC227"/>
    <mergeCell ref="BD227:BS227"/>
    <mergeCell ref="BT227:CI227"/>
    <mergeCell ref="CJ227:DA227"/>
    <mergeCell ref="A228:G228"/>
    <mergeCell ref="H228:BC228"/>
    <mergeCell ref="BD228:BS228"/>
    <mergeCell ref="BT228:CI228"/>
    <mergeCell ref="CJ228:DA228"/>
    <mergeCell ref="A225:G225"/>
    <mergeCell ref="H225:BC225"/>
    <mergeCell ref="BD225:BS225"/>
    <mergeCell ref="BT225:CI225"/>
    <mergeCell ref="CJ225:DA225"/>
    <mergeCell ref="A226:G226"/>
    <mergeCell ref="H226:BC226"/>
    <mergeCell ref="BD226:BS226"/>
    <mergeCell ref="BT226:CI226"/>
    <mergeCell ref="CJ226:DA226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20:DA220"/>
    <mergeCell ref="A222:G222"/>
    <mergeCell ref="H222:BC222"/>
    <mergeCell ref="BD222:BS222"/>
    <mergeCell ref="BT222:CI222"/>
    <mergeCell ref="CJ222:DA222"/>
    <mergeCell ref="A217:G217"/>
    <mergeCell ref="H217:BC217"/>
    <mergeCell ref="BD217:BS217"/>
    <mergeCell ref="BT217:CI217"/>
    <mergeCell ref="CJ217:DA217"/>
    <mergeCell ref="A218:G218"/>
    <mergeCell ref="H218:BC218"/>
    <mergeCell ref="BD218:BS218"/>
    <mergeCell ref="BT218:CI218"/>
    <mergeCell ref="CJ218:DA218"/>
    <mergeCell ref="A215:G215"/>
    <mergeCell ref="H215:BC215"/>
    <mergeCell ref="BD215:BS215"/>
    <mergeCell ref="BT215:CI215"/>
    <mergeCell ref="CJ215:DA215"/>
    <mergeCell ref="A216:G216"/>
    <mergeCell ref="H216:BC216"/>
    <mergeCell ref="BD216:BS216"/>
    <mergeCell ref="BT216:CI216"/>
    <mergeCell ref="CJ216:DA216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9:G209"/>
    <mergeCell ref="H209:BC209"/>
    <mergeCell ref="BD209:BS209"/>
    <mergeCell ref="BT209:CI209"/>
    <mergeCell ref="CJ209:DA209"/>
    <mergeCell ref="A210:G210"/>
    <mergeCell ref="H210:BC210"/>
    <mergeCell ref="BD210:BS210"/>
    <mergeCell ref="BT210:CI210"/>
    <mergeCell ref="CJ210:DA210"/>
    <mergeCell ref="A207:G207"/>
    <mergeCell ref="H207:BC207"/>
    <mergeCell ref="BD207:BS207"/>
    <mergeCell ref="BT207:CI207"/>
    <mergeCell ref="CJ207:DA207"/>
    <mergeCell ref="A208:G208"/>
    <mergeCell ref="H208:BC208"/>
    <mergeCell ref="BD208:BS208"/>
    <mergeCell ref="BT208:CI208"/>
    <mergeCell ref="CJ208:DA208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1:G201"/>
    <mergeCell ref="H201:BC201"/>
    <mergeCell ref="BD201:BS201"/>
    <mergeCell ref="BT201:CI201"/>
    <mergeCell ref="CJ201:DA201"/>
    <mergeCell ref="A202:G202"/>
    <mergeCell ref="H202:BC202"/>
    <mergeCell ref="BD202:BS202"/>
    <mergeCell ref="BT202:CI202"/>
    <mergeCell ref="CJ202:DA202"/>
    <mergeCell ref="A199:G199"/>
    <mergeCell ref="H199:BC199"/>
    <mergeCell ref="BD199:BS199"/>
    <mergeCell ref="BT199:CI199"/>
    <mergeCell ref="CJ199:DA199"/>
    <mergeCell ref="A200:G200"/>
    <mergeCell ref="H200:BC200"/>
    <mergeCell ref="BD200:BS200"/>
    <mergeCell ref="BT200:CI200"/>
    <mergeCell ref="CJ200:DA200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3:G193"/>
    <mergeCell ref="H193:BC193"/>
    <mergeCell ref="BD193:BS193"/>
    <mergeCell ref="BT193:CI193"/>
    <mergeCell ref="CJ193:DA193"/>
    <mergeCell ref="A194:G194"/>
    <mergeCell ref="H194:BC194"/>
    <mergeCell ref="BD194:BS194"/>
    <mergeCell ref="BT194:CI194"/>
    <mergeCell ref="CJ194:DA194"/>
    <mergeCell ref="A191:G191"/>
    <mergeCell ref="H191:BC191"/>
    <mergeCell ref="BD191:BS191"/>
    <mergeCell ref="BT191:CI191"/>
    <mergeCell ref="CJ191:DA191"/>
    <mergeCell ref="A192:G192"/>
    <mergeCell ref="H192:BC192"/>
    <mergeCell ref="BD192:BS192"/>
    <mergeCell ref="BT192:CI192"/>
    <mergeCell ref="CJ192:DA192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5:G185"/>
    <mergeCell ref="H185:BC185"/>
    <mergeCell ref="BD185:BS185"/>
    <mergeCell ref="BT185:CI185"/>
    <mergeCell ref="CJ185:DA185"/>
    <mergeCell ref="A186:G186"/>
    <mergeCell ref="H186:BC186"/>
    <mergeCell ref="BD186:BS186"/>
    <mergeCell ref="BT186:CI186"/>
    <mergeCell ref="CJ186:DA186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8:DA178"/>
    <mergeCell ref="A180:G180"/>
    <mergeCell ref="H180:BC180"/>
    <mergeCell ref="BD180:BS180"/>
    <mergeCell ref="BT180:CI180"/>
    <mergeCell ref="CJ180:DA180"/>
    <mergeCell ref="A175:G175"/>
    <mergeCell ref="H175:BS175"/>
    <mergeCell ref="BT175:CI175"/>
    <mergeCell ref="CJ175:DA175"/>
    <mergeCell ref="A176:G176"/>
    <mergeCell ref="H176:BS176"/>
    <mergeCell ref="BT176:CI176"/>
    <mergeCell ref="CJ176:DA176"/>
    <mergeCell ref="A173:G173"/>
    <mergeCell ref="H173:BS173"/>
    <mergeCell ref="BT173:CI173"/>
    <mergeCell ref="CJ173:DA173"/>
    <mergeCell ref="A174:G174"/>
    <mergeCell ref="H174:BS174"/>
    <mergeCell ref="BT174:CI174"/>
    <mergeCell ref="CJ174:DA174"/>
    <mergeCell ref="A171:G171"/>
    <mergeCell ref="H171:BS171"/>
    <mergeCell ref="BT171:CI171"/>
    <mergeCell ref="CJ171:DA171"/>
    <mergeCell ref="A172:G172"/>
    <mergeCell ref="H172:BS172"/>
    <mergeCell ref="BT172:CI172"/>
    <mergeCell ref="CJ172:DA172"/>
    <mergeCell ref="A169:G169"/>
    <mergeCell ref="H169:BS169"/>
    <mergeCell ref="BT169:CI169"/>
    <mergeCell ref="CJ169:DA169"/>
    <mergeCell ref="A170:G170"/>
    <mergeCell ref="H170:BS170"/>
    <mergeCell ref="BT170:CI170"/>
    <mergeCell ref="CJ170:DA170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A165:G165"/>
    <mergeCell ref="H165:BS165"/>
    <mergeCell ref="BT165:CI165"/>
    <mergeCell ref="CJ165:DA165"/>
    <mergeCell ref="A166:G166"/>
    <mergeCell ref="H166:BS166"/>
    <mergeCell ref="BT166:CI166"/>
    <mergeCell ref="CJ166:DA166"/>
    <mergeCell ref="A163:G163"/>
    <mergeCell ref="H163:BS163"/>
    <mergeCell ref="BT163:CI163"/>
    <mergeCell ref="CJ163:DA163"/>
    <mergeCell ref="A164:G164"/>
    <mergeCell ref="H164:BS164"/>
    <mergeCell ref="BT164:CI164"/>
    <mergeCell ref="CJ164:DA164"/>
    <mergeCell ref="A161:G161"/>
    <mergeCell ref="H161:BS161"/>
    <mergeCell ref="BT161:CI161"/>
    <mergeCell ref="CJ161:DA161"/>
    <mergeCell ref="A162:G162"/>
    <mergeCell ref="H162:BS162"/>
    <mergeCell ref="BT162:CI162"/>
    <mergeCell ref="CJ162:DA162"/>
    <mergeCell ref="A159:G159"/>
    <mergeCell ref="H159:BS159"/>
    <mergeCell ref="BT159:CI159"/>
    <mergeCell ref="CJ159:DA159"/>
    <mergeCell ref="A160:G160"/>
    <mergeCell ref="H160:BS160"/>
    <mergeCell ref="BT160:CI160"/>
    <mergeCell ref="CJ160:DA160"/>
    <mergeCell ref="A157:G157"/>
    <mergeCell ref="H157:BS157"/>
    <mergeCell ref="BT157:CI157"/>
    <mergeCell ref="CJ157:DA157"/>
    <mergeCell ref="A158:G158"/>
    <mergeCell ref="H158:BS158"/>
    <mergeCell ref="BT158:CI158"/>
    <mergeCell ref="CJ158:DA158"/>
    <mergeCell ref="A155:G155"/>
    <mergeCell ref="H155:BS155"/>
    <mergeCell ref="BT155:CI155"/>
    <mergeCell ref="CJ155:DA155"/>
    <mergeCell ref="A156:G156"/>
    <mergeCell ref="H156:BS156"/>
    <mergeCell ref="BT156:CI156"/>
    <mergeCell ref="CJ156:DA156"/>
    <mergeCell ref="A153:G153"/>
    <mergeCell ref="H153:BS153"/>
    <mergeCell ref="BT153:CI153"/>
    <mergeCell ref="CJ153:DA153"/>
    <mergeCell ref="A154:G154"/>
    <mergeCell ref="H154:BS154"/>
    <mergeCell ref="BT154:CI154"/>
    <mergeCell ref="CJ154:DA154"/>
    <mergeCell ref="A151:G151"/>
    <mergeCell ref="H151:BS151"/>
    <mergeCell ref="BT151:CI151"/>
    <mergeCell ref="CJ151:DA151"/>
    <mergeCell ref="A152:G152"/>
    <mergeCell ref="H152:BS152"/>
    <mergeCell ref="BT152:CI152"/>
    <mergeCell ref="CJ152:DA152"/>
    <mergeCell ref="A149:G149"/>
    <mergeCell ref="H149:BS149"/>
    <mergeCell ref="BT149:CI149"/>
    <mergeCell ref="CJ149:DA149"/>
    <mergeCell ref="A150:G150"/>
    <mergeCell ref="H150:BS150"/>
    <mergeCell ref="BT150:CI150"/>
    <mergeCell ref="CJ150:DA150"/>
    <mergeCell ref="A147:G147"/>
    <mergeCell ref="H147:BS147"/>
    <mergeCell ref="BT147:CI147"/>
    <mergeCell ref="CJ147:DA147"/>
    <mergeCell ref="A148:G148"/>
    <mergeCell ref="H148:BS148"/>
    <mergeCell ref="BT148:CI148"/>
    <mergeCell ref="CJ148:DA148"/>
    <mergeCell ref="A145:G145"/>
    <mergeCell ref="H145:BS145"/>
    <mergeCell ref="BT145:CI145"/>
    <mergeCell ref="CJ145:DA145"/>
    <mergeCell ref="A146:G146"/>
    <mergeCell ref="H146:BS146"/>
    <mergeCell ref="BT146:CI146"/>
    <mergeCell ref="CJ146:DA146"/>
    <mergeCell ref="A143:G143"/>
    <mergeCell ref="H143:BS143"/>
    <mergeCell ref="BT143:CI143"/>
    <mergeCell ref="CJ143:DA143"/>
    <mergeCell ref="A144:G144"/>
    <mergeCell ref="H144:BS144"/>
    <mergeCell ref="BT144:CI144"/>
    <mergeCell ref="CJ144:DA144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G133"/>
    <mergeCell ref="H133:BC133"/>
    <mergeCell ref="BD133:BS133"/>
    <mergeCell ref="BT133:CI133"/>
    <mergeCell ref="CJ133:DA133"/>
    <mergeCell ref="A135:DA135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23:G123"/>
    <mergeCell ref="H123:BC123"/>
    <mergeCell ref="BD123:BS123"/>
    <mergeCell ref="BT123:CI123"/>
    <mergeCell ref="CJ123:DA123"/>
    <mergeCell ref="A124:G124"/>
    <mergeCell ref="H124:BC124"/>
    <mergeCell ref="BD124:BS124"/>
    <mergeCell ref="BT124:CI124"/>
    <mergeCell ref="CJ124:DA124"/>
    <mergeCell ref="BD120:BS120"/>
    <mergeCell ref="A122:G122"/>
    <mergeCell ref="H122:BC122"/>
    <mergeCell ref="BD122:BS122"/>
    <mergeCell ref="BT122:CI122"/>
    <mergeCell ref="CJ122:DA122"/>
    <mergeCell ref="BT120:CI120"/>
    <mergeCell ref="CJ120:DA120"/>
    <mergeCell ref="CJ112:DA112"/>
    <mergeCell ref="BT115:CI115"/>
    <mergeCell ref="CJ115:DA115"/>
    <mergeCell ref="A121:G121"/>
    <mergeCell ref="H121:BC121"/>
    <mergeCell ref="BD121:BS121"/>
    <mergeCell ref="BT121:CI121"/>
    <mergeCell ref="CJ121:DA121"/>
    <mergeCell ref="A120:G120"/>
    <mergeCell ref="H120:BC120"/>
    <mergeCell ref="CJ113:DA113"/>
    <mergeCell ref="A114:G114"/>
    <mergeCell ref="H114:BC114"/>
    <mergeCell ref="BD114:BS114"/>
    <mergeCell ref="BT114:CI114"/>
    <mergeCell ref="CJ114:DA114"/>
    <mergeCell ref="H113:BC113"/>
    <mergeCell ref="BD113:BS113"/>
    <mergeCell ref="BT113:CI113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6:G106"/>
    <mergeCell ref="A105:G105"/>
    <mergeCell ref="H105:BC105"/>
    <mergeCell ref="BD105:BS105"/>
    <mergeCell ref="BT105:CI105"/>
    <mergeCell ref="CJ105:DA105"/>
    <mergeCell ref="A103:G103"/>
    <mergeCell ref="H103:BC103"/>
    <mergeCell ref="BD103:BS103"/>
    <mergeCell ref="BT103:CI103"/>
    <mergeCell ref="CJ103:DA103"/>
    <mergeCell ref="A97:G97"/>
    <mergeCell ref="H97:BC97"/>
    <mergeCell ref="BD97:BS97"/>
    <mergeCell ref="BT97:CI97"/>
    <mergeCell ref="CJ97:DA97"/>
    <mergeCell ref="A98:G98"/>
    <mergeCell ref="H98:BC98"/>
    <mergeCell ref="BD98:BS98"/>
    <mergeCell ref="BT98:CI98"/>
    <mergeCell ref="CJ98:DA98"/>
    <mergeCell ref="BF84:BU84"/>
    <mergeCell ref="BV84:CK84"/>
    <mergeCell ref="CL84:DA84"/>
    <mergeCell ref="A89:DA89"/>
    <mergeCell ref="A91:G91"/>
    <mergeCell ref="H91:BC91"/>
    <mergeCell ref="BD91:BS91"/>
    <mergeCell ref="BT91:CI91"/>
    <mergeCell ref="CJ91:DA91"/>
    <mergeCell ref="CL87:DA87"/>
    <mergeCell ref="A83:G83"/>
    <mergeCell ref="H83:AO83"/>
    <mergeCell ref="AP83:BE83"/>
    <mergeCell ref="BF83:BU83"/>
    <mergeCell ref="BV83:CK83"/>
    <mergeCell ref="CL83:DA83"/>
    <mergeCell ref="CL81:DA81"/>
    <mergeCell ref="A82:G82"/>
    <mergeCell ref="H82:AO82"/>
    <mergeCell ref="AP82:BE82"/>
    <mergeCell ref="BF82:BU82"/>
    <mergeCell ref="BV82:CK82"/>
    <mergeCell ref="CL82:DA82"/>
    <mergeCell ref="H81:AO81"/>
    <mergeCell ref="AP81:BE81"/>
    <mergeCell ref="BF81:BU81"/>
    <mergeCell ref="CJ76:DA76"/>
    <mergeCell ref="A78:DA78"/>
    <mergeCell ref="H80:AO80"/>
    <mergeCell ref="AP80:BE80"/>
    <mergeCell ref="BF80:BU80"/>
    <mergeCell ref="BV80:CK80"/>
    <mergeCell ref="CL80:DA80"/>
    <mergeCell ref="BT76:CI76"/>
    <mergeCell ref="H76:BC76"/>
    <mergeCell ref="BD76:BS76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68:G68"/>
    <mergeCell ref="H68:AO68"/>
    <mergeCell ref="AP68:BE68"/>
    <mergeCell ref="BF68:BU68"/>
    <mergeCell ref="BV68:CK68"/>
    <mergeCell ref="CL68:DA68"/>
    <mergeCell ref="A67:G67"/>
    <mergeCell ref="H67:AO67"/>
    <mergeCell ref="AP67:BE67"/>
    <mergeCell ref="BF67:BU67"/>
    <mergeCell ref="BV67:CK67"/>
    <mergeCell ref="CL67:DA67"/>
    <mergeCell ref="A66:G66"/>
    <mergeCell ref="H66:AO66"/>
    <mergeCell ref="AP66:BE66"/>
    <mergeCell ref="BF66:BU66"/>
    <mergeCell ref="BV66:CK66"/>
    <mergeCell ref="CL66:DA66"/>
    <mergeCell ref="A65:G65"/>
    <mergeCell ref="H65:AO65"/>
    <mergeCell ref="AP65:BE65"/>
    <mergeCell ref="BF65:BU65"/>
    <mergeCell ref="BV65:CK65"/>
    <mergeCell ref="CL65:DA65"/>
    <mergeCell ref="A64:G64"/>
    <mergeCell ref="H64:AO64"/>
    <mergeCell ref="AP64:BE64"/>
    <mergeCell ref="BF64:BU64"/>
    <mergeCell ref="BV64:CK64"/>
    <mergeCell ref="CL64:DA64"/>
    <mergeCell ref="A63:G63"/>
    <mergeCell ref="H63:AO63"/>
    <mergeCell ref="AP63:BE63"/>
    <mergeCell ref="BF63:BU63"/>
    <mergeCell ref="BV63:CK63"/>
    <mergeCell ref="CL63:DA63"/>
    <mergeCell ref="A62:G62"/>
    <mergeCell ref="H62:AO62"/>
    <mergeCell ref="AP62:BE62"/>
    <mergeCell ref="BF62:BU62"/>
    <mergeCell ref="BV62:CK62"/>
    <mergeCell ref="CL62:DA62"/>
    <mergeCell ref="A61:G61"/>
    <mergeCell ref="H61:AO61"/>
    <mergeCell ref="AP61:BE61"/>
    <mergeCell ref="BF61:BU61"/>
    <mergeCell ref="BV61:CK61"/>
    <mergeCell ref="CL61:DA61"/>
    <mergeCell ref="A60:G60"/>
    <mergeCell ref="H60:AO60"/>
    <mergeCell ref="AP60:BE60"/>
    <mergeCell ref="BF60:BU60"/>
    <mergeCell ref="BV60:CK60"/>
    <mergeCell ref="CL60:DA60"/>
    <mergeCell ref="BV58:CK58"/>
    <mergeCell ref="CL58:DA58"/>
    <mergeCell ref="H59:AO59"/>
    <mergeCell ref="AP59:BE59"/>
    <mergeCell ref="BF59:BU59"/>
    <mergeCell ref="BV59:CK59"/>
    <mergeCell ref="CL59:DA59"/>
    <mergeCell ref="BT49:CD49"/>
    <mergeCell ref="CE49:DA49"/>
    <mergeCell ref="X52:DA52"/>
    <mergeCell ref="A54:AO54"/>
    <mergeCell ref="AP54:DA54"/>
    <mergeCell ref="A56:DA56"/>
    <mergeCell ref="BT46:CD46"/>
    <mergeCell ref="CE46:DA46"/>
    <mergeCell ref="BT47:CD47"/>
    <mergeCell ref="CE47:DA47"/>
    <mergeCell ref="BT48:CD48"/>
    <mergeCell ref="CE48:DA48"/>
    <mergeCell ref="A44:G44"/>
    <mergeCell ref="H44:BC44"/>
    <mergeCell ref="BD44:BS44"/>
    <mergeCell ref="BT44:CD44"/>
    <mergeCell ref="CE44:DA44"/>
    <mergeCell ref="BT45:CD45"/>
    <mergeCell ref="CE45:DA45"/>
    <mergeCell ref="A45:G45"/>
    <mergeCell ref="H45:BC45"/>
    <mergeCell ref="BD45:BS45"/>
    <mergeCell ref="A42:G42"/>
    <mergeCell ref="H42:BC42"/>
    <mergeCell ref="BD42:BS42"/>
    <mergeCell ref="BT42:CD42"/>
    <mergeCell ref="CE42:DA42"/>
    <mergeCell ref="A43:G43"/>
    <mergeCell ref="H43:BC43"/>
    <mergeCell ref="BD43:BS43"/>
    <mergeCell ref="BT43:CD43"/>
    <mergeCell ref="CE43:DA43"/>
    <mergeCell ref="A32:F32"/>
    <mergeCell ref="H32:BV32"/>
    <mergeCell ref="BW32:CL32"/>
    <mergeCell ref="CM32:DA32"/>
    <mergeCell ref="A41:AO41"/>
    <mergeCell ref="AP41:DA41"/>
    <mergeCell ref="A34:F34"/>
    <mergeCell ref="BW34:CL34"/>
    <mergeCell ref="CM34:DA34"/>
    <mergeCell ref="G34:BV34"/>
    <mergeCell ref="BW24:CL24"/>
    <mergeCell ref="CM24:DA24"/>
    <mergeCell ref="A27:F28"/>
    <mergeCell ref="BW27:CL28"/>
    <mergeCell ref="CM27:DA28"/>
    <mergeCell ref="A25:F25"/>
    <mergeCell ref="H25:BV25"/>
    <mergeCell ref="H27:BV27"/>
    <mergeCell ref="H28:BV28"/>
    <mergeCell ref="BW20:CL20"/>
    <mergeCell ref="CM20:DA20"/>
    <mergeCell ref="BW21:CL21"/>
    <mergeCell ref="CM21:DA21"/>
    <mergeCell ref="BW22:CL23"/>
    <mergeCell ref="CM22:DA23"/>
    <mergeCell ref="B14:G14"/>
    <mergeCell ref="H14:AE14"/>
    <mergeCell ref="A17:DA17"/>
    <mergeCell ref="A19:F19"/>
    <mergeCell ref="G19:BV19"/>
    <mergeCell ref="BW19:CL19"/>
    <mergeCell ref="CM19:DA19"/>
    <mergeCell ref="CK13:DB13"/>
    <mergeCell ref="AF12:AZ12"/>
    <mergeCell ref="BS14:CJ14"/>
    <mergeCell ref="CK14:DB14"/>
    <mergeCell ref="B15:G15"/>
    <mergeCell ref="H15:AE15"/>
    <mergeCell ref="AF15:AZ15"/>
    <mergeCell ref="BA15:BR15"/>
    <mergeCell ref="BS15:CJ15"/>
    <mergeCell ref="CK15:DB15"/>
    <mergeCell ref="BE7:BT7"/>
    <mergeCell ref="BU7:CJ7"/>
    <mergeCell ref="BA12:BR12"/>
    <mergeCell ref="BS12:CJ12"/>
    <mergeCell ref="CK12:DB12"/>
    <mergeCell ref="B13:G13"/>
    <mergeCell ref="H13:AE13"/>
    <mergeCell ref="AF13:AZ13"/>
    <mergeCell ref="BA13:BR13"/>
    <mergeCell ref="BS13:CJ13"/>
    <mergeCell ref="CK6:DB6"/>
    <mergeCell ref="B5:G5"/>
    <mergeCell ref="H5:AE5"/>
    <mergeCell ref="CK7:DB7"/>
    <mergeCell ref="B8:G8"/>
    <mergeCell ref="H8:AE8"/>
    <mergeCell ref="AF8:BD8"/>
    <mergeCell ref="BE8:BT8"/>
    <mergeCell ref="BU8:CJ8"/>
    <mergeCell ref="CK8:DB8"/>
    <mergeCell ref="BE4:BT4"/>
    <mergeCell ref="BU4:CJ4"/>
    <mergeCell ref="CK4:DB4"/>
    <mergeCell ref="BU5:CJ5"/>
    <mergeCell ref="CK5:DB5"/>
    <mergeCell ref="B6:G6"/>
    <mergeCell ref="H6:AE6"/>
    <mergeCell ref="AF6:BD6"/>
    <mergeCell ref="BE6:BT6"/>
    <mergeCell ref="BU6:CJ6"/>
    <mergeCell ref="Y1:FF1"/>
    <mergeCell ref="B2:DB2"/>
    <mergeCell ref="B4:G4"/>
    <mergeCell ref="H4:AE4"/>
    <mergeCell ref="AF4:BD4"/>
    <mergeCell ref="A118:G118"/>
    <mergeCell ref="H118:BC118"/>
    <mergeCell ref="BD118:BS118"/>
    <mergeCell ref="BT118:CI118"/>
    <mergeCell ref="CJ118:DA118"/>
    <mergeCell ref="BT119:CI119"/>
    <mergeCell ref="CJ119:DA119"/>
    <mergeCell ref="A117:G117"/>
    <mergeCell ref="H117:BC117"/>
    <mergeCell ref="BD117:BS117"/>
    <mergeCell ref="BT117:CI117"/>
    <mergeCell ref="CJ117:DA117"/>
    <mergeCell ref="A116:G116"/>
    <mergeCell ref="H116:BC116"/>
    <mergeCell ref="BD116:BS116"/>
    <mergeCell ref="A119:G119"/>
    <mergeCell ref="H119:BC119"/>
    <mergeCell ref="BD119:BS119"/>
    <mergeCell ref="BT116:CI116"/>
    <mergeCell ref="CJ116:DA116"/>
    <mergeCell ref="H112:BC112"/>
    <mergeCell ref="BD112:BS112"/>
    <mergeCell ref="A113:G113"/>
    <mergeCell ref="A112:G112"/>
    <mergeCell ref="BT112:CI112"/>
    <mergeCell ref="A115:G115"/>
    <mergeCell ref="H115:BC115"/>
    <mergeCell ref="BD115:BS115"/>
    <mergeCell ref="A110:G110"/>
    <mergeCell ref="BT110:CI110"/>
    <mergeCell ref="CJ110:DA110"/>
    <mergeCell ref="A111:G111"/>
    <mergeCell ref="BT111:CI111"/>
    <mergeCell ref="CJ111:DA111"/>
    <mergeCell ref="H111:BC111"/>
    <mergeCell ref="BD111:BS111"/>
    <mergeCell ref="H110:BC110"/>
    <mergeCell ref="BD110:BS110"/>
    <mergeCell ref="A108:G108"/>
    <mergeCell ref="BT108:CI108"/>
    <mergeCell ref="CJ108:DA108"/>
    <mergeCell ref="A109:G109"/>
    <mergeCell ref="BT109:CI109"/>
    <mergeCell ref="CJ109:DA109"/>
    <mergeCell ref="H108:BC108"/>
    <mergeCell ref="BD108:BS108"/>
    <mergeCell ref="H109:BC109"/>
    <mergeCell ref="BD109:BS109"/>
    <mergeCell ref="A104:G104"/>
    <mergeCell ref="H104:BC104"/>
    <mergeCell ref="BD104:BS104"/>
    <mergeCell ref="BT104:CI104"/>
    <mergeCell ref="CJ104:DA104"/>
    <mergeCell ref="A101:G101"/>
    <mergeCell ref="H101:BC101"/>
    <mergeCell ref="BD101:BS101"/>
    <mergeCell ref="BT101:CI101"/>
    <mergeCell ref="CJ101:DA101"/>
    <mergeCell ref="A102:G102"/>
    <mergeCell ref="H102:BC102"/>
    <mergeCell ref="BD102:BS102"/>
    <mergeCell ref="BT102:CI102"/>
    <mergeCell ref="CJ102:DA102"/>
    <mergeCell ref="A100:G100"/>
    <mergeCell ref="H100:BC100"/>
    <mergeCell ref="BD100:BS100"/>
    <mergeCell ref="BT100:CI100"/>
    <mergeCell ref="CJ100:DA100"/>
    <mergeCell ref="A99:G99"/>
    <mergeCell ref="H99:BC99"/>
    <mergeCell ref="BD99:BS99"/>
    <mergeCell ref="BT99:CI99"/>
    <mergeCell ref="CJ99:DA99"/>
    <mergeCell ref="A95:G95"/>
    <mergeCell ref="H95:BC95"/>
    <mergeCell ref="BD95:BS95"/>
    <mergeCell ref="BT95:CI95"/>
    <mergeCell ref="CJ95:DA95"/>
    <mergeCell ref="A96:G96"/>
    <mergeCell ref="H96:BC96"/>
    <mergeCell ref="BD96:BS96"/>
    <mergeCell ref="BT96:CI96"/>
    <mergeCell ref="CJ96:DA96"/>
    <mergeCell ref="A93:G93"/>
    <mergeCell ref="H93:BC93"/>
    <mergeCell ref="BD93:BS93"/>
    <mergeCell ref="BT93:CI93"/>
    <mergeCell ref="CJ93:DA93"/>
    <mergeCell ref="A94:G94"/>
    <mergeCell ref="H94:BC94"/>
    <mergeCell ref="BD94:BS94"/>
    <mergeCell ref="BT94:CI94"/>
    <mergeCell ref="CJ94:DA94"/>
    <mergeCell ref="A92:G92"/>
    <mergeCell ref="H92:BC92"/>
    <mergeCell ref="BD92:BS92"/>
    <mergeCell ref="BT92:CI92"/>
    <mergeCell ref="CJ92:DA92"/>
    <mergeCell ref="A87:G87"/>
    <mergeCell ref="H87:AO87"/>
    <mergeCell ref="AP87:BE87"/>
    <mergeCell ref="BF87:BU87"/>
    <mergeCell ref="BV87:CK87"/>
    <mergeCell ref="A86:G86"/>
    <mergeCell ref="H86:AO86"/>
    <mergeCell ref="AP86:BE86"/>
    <mergeCell ref="BF86:BU86"/>
    <mergeCell ref="BV86:CK86"/>
    <mergeCell ref="CL86:DA86"/>
    <mergeCell ref="A85:G85"/>
    <mergeCell ref="H85:AO85"/>
    <mergeCell ref="AP85:BE85"/>
    <mergeCell ref="BF85:BU85"/>
    <mergeCell ref="BV85:CK85"/>
    <mergeCell ref="CL85:DA85"/>
    <mergeCell ref="BV81:CK81"/>
    <mergeCell ref="H72:BC72"/>
    <mergeCell ref="BD72:BS72"/>
    <mergeCell ref="BT72:CI72"/>
    <mergeCell ref="CJ72:DA72"/>
    <mergeCell ref="A84:G84"/>
    <mergeCell ref="H84:AO84"/>
    <mergeCell ref="AP84:BE84"/>
    <mergeCell ref="A80:G80"/>
    <mergeCell ref="A81:G81"/>
    <mergeCell ref="A76:G76"/>
    <mergeCell ref="A70:DA70"/>
    <mergeCell ref="A58:G58"/>
    <mergeCell ref="A59:G59"/>
    <mergeCell ref="A51:DA51"/>
    <mergeCell ref="A73:G73"/>
    <mergeCell ref="H73:BC73"/>
    <mergeCell ref="BD73:BS73"/>
    <mergeCell ref="BT73:CI73"/>
    <mergeCell ref="CJ73:DA73"/>
    <mergeCell ref="A72:G72"/>
    <mergeCell ref="A48:G48"/>
    <mergeCell ref="H48:BC48"/>
    <mergeCell ref="BD48:BS48"/>
    <mergeCell ref="A49:G49"/>
    <mergeCell ref="H49:BC49"/>
    <mergeCell ref="BD49:BS49"/>
    <mergeCell ref="H58:AO58"/>
    <mergeCell ref="AP58:BE58"/>
    <mergeCell ref="BF58:BU58"/>
    <mergeCell ref="A46:G46"/>
    <mergeCell ref="H46:BC46"/>
    <mergeCell ref="BD46:BS46"/>
    <mergeCell ref="A47:G47"/>
    <mergeCell ref="H47:BC47"/>
    <mergeCell ref="BD47:BS47"/>
    <mergeCell ref="A36:DA36"/>
    <mergeCell ref="A38:DA38"/>
    <mergeCell ref="X40:DA40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H29:BV29"/>
    <mergeCell ref="A29:F29"/>
    <mergeCell ref="BW29:CL29"/>
    <mergeCell ref="CM29:DA29"/>
    <mergeCell ref="BW25:CL25"/>
    <mergeCell ref="CM25:DA25"/>
    <mergeCell ref="A26:F26"/>
    <mergeCell ref="H26:BV26"/>
    <mergeCell ref="BW26:CL26"/>
    <mergeCell ref="CM26:DA26"/>
    <mergeCell ref="H22:BV22"/>
    <mergeCell ref="H23:BV23"/>
    <mergeCell ref="H24:BV24"/>
    <mergeCell ref="A22:F23"/>
    <mergeCell ref="A20:F20"/>
    <mergeCell ref="G20:BV20"/>
    <mergeCell ref="A21:F21"/>
    <mergeCell ref="H21:BV21"/>
    <mergeCell ref="A24:F24"/>
    <mergeCell ref="AF5:BD5"/>
    <mergeCell ref="BE5:BT5"/>
    <mergeCell ref="AF14:AZ14"/>
    <mergeCell ref="BA14:BR14"/>
    <mergeCell ref="B10:DB10"/>
    <mergeCell ref="B12:G12"/>
    <mergeCell ref="H12:AE12"/>
    <mergeCell ref="B7:G7"/>
    <mergeCell ref="H7:AE7"/>
    <mergeCell ref="AF7:BD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55"/>
  <sheetViews>
    <sheetView zoomScalePageLayoutView="0" workbookViewId="0" topLeftCell="A1">
      <selection activeCell="B2" sqref="A2:FE248"/>
    </sheetView>
  </sheetViews>
  <sheetFormatPr defaultColWidth="0.875" defaultRowHeight="12.75"/>
  <cols>
    <col min="1" max="5" width="0.875" style="79" customWidth="1"/>
    <col min="6" max="6" width="1.37890625" style="79" customWidth="1"/>
    <col min="7" max="7" width="0.875" style="79" hidden="1" customWidth="1"/>
    <col min="8" max="23" width="0.875" style="79" customWidth="1"/>
    <col min="24" max="24" width="16.125" style="79" customWidth="1"/>
    <col min="25" max="25" width="7.00390625" style="79" customWidth="1"/>
    <col min="26" max="29" width="0.875" style="79" customWidth="1"/>
    <col min="30" max="30" width="17.875" style="79" customWidth="1"/>
    <col min="31" max="31" width="0.6171875" style="79" customWidth="1"/>
    <col min="32" max="39" width="0.875" style="79" hidden="1" customWidth="1"/>
    <col min="40" max="53" width="0.875" style="79" customWidth="1"/>
    <col min="54" max="54" width="14.75390625" style="79" customWidth="1"/>
    <col min="55" max="70" width="0.875" style="79" customWidth="1"/>
    <col min="71" max="71" width="12.00390625" style="79" customWidth="1"/>
    <col min="72" max="85" width="0.875" style="79" customWidth="1"/>
    <col min="86" max="86" width="9.00390625" style="79" customWidth="1"/>
    <col min="87" max="91" width="0.875" style="79" customWidth="1"/>
    <col min="92" max="92" width="0.74609375" style="79" customWidth="1"/>
    <col min="93" max="94" width="0.875" style="79" hidden="1" customWidth="1"/>
    <col min="95" max="103" width="0.875" style="79" customWidth="1"/>
    <col min="104" max="104" width="9.875" style="79" customWidth="1"/>
    <col min="105" max="105" width="0.875" style="79" customWidth="1"/>
    <col min="106" max="106" width="0.12890625" style="79" customWidth="1"/>
    <col min="107" max="111" width="0.875" style="79" hidden="1" customWidth="1"/>
    <col min="112" max="131" width="0.875" style="79" customWidth="1"/>
    <col min="132" max="132" width="15.875" style="79" bestFit="1" customWidth="1"/>
    <col min="133" max="143" width="0.875" style="79" customWidth="1"/>
    <col min="144" max="144" width="1.00390625" style="79" customWidth="1"/>
    <col min="145" max="160" width="0.875" style="79" customWidth="1"/>
    <col min="161" max="161" width="2.125" style="79" customWidth="1"/>
    <col min="162" max="183" width="0.875" style="79" customWidth="1"/>
    <col min="184" max="184" width="13.25390625" style="79" bestFit="1" customWidth="1"/>
    <col min="185" max="16384" width="0.875" style="79" customWidth="1"/>
  </cols>
  <sheetData>
    <row r="1" ht="3" customHeight="1"/>
    <row r="2" s="87" customFormat="1" ht="12">
      <c r="DA2" s="87" t="s">
        <v>516</v>
      </c>
    </row>
    <row r="3" spans="105:161" s="87" customFormat="1" ht="57" customHeight="1">
      <c r="DA3" s="506" t="s">
        <v>517</v>
      </c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</row>
    <row r="4" s="86" customFormat="1" ht="3" customHeight="1"/>
    <row r="5" spans="1:161" s="93" customFormat="1" ht="15.75">
      <c r="A5" s="429" t="s">
        <v>219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29"/>
      <c r="BF5" s="429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29"/>
      <c r="BX5" s="429"/>
      <c r="BY5" s="429"/>
      <c r="BZ5" s="429"/>
      <c r="CA5" s="429"/>
      <c r="CB5" s="429"/>
      <c r="CC5" s="429"/>
      <c r="CD5" s="429"/>
      <c r="CE5" s="429"/>
      <c r="CF5" s="429"/>
      <c r="CG5" s="429"/>
      <c r="CH5" s="429"/>
      <c r="CI5" s="429"/>
      <c r="CJ5" s="429"/>
      <c r="CK5" s="429"/>
      <c r="CL5" s="429"/>
      <c r="CM5" s="429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29"/>
      <c r="ER5" s="429"/>
      <c r="ES5" s="429"/>
      <c r="ET5" s="429"/>
      <c r="EU5" s="429"/>
      <c r="EV5" s="429"/>
      <c r="EW5" s="429"/>
      <c r="EX5" s="429"/>
      <c r="EY5" s="429"/>
      <c r="EZ5" s="429"/>
      <c r="FA5" s="429"/>
      <c r="FB5" s="429"/>
      <c r="FC5" s="429"/>
      <c r="FD5" s="429"/>
      <c r="FE5" s="429"/>
    </row>
    <row r="6" s="86" customFormat="1" ht="12.75"/>
    <row r="7" spans="1:161" ht="15">
      <c r="A7" s="199" t="s">
        <v>220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</row>
    <row r="8" s="86" customFormat="1" ht="6" customHeight="1"/>
    <row r="9" spans="1:161" s="84" customFormat="1" ht="1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6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</row>
    <row r="10" spans="1:161" s="84" customFormat="1" ht="15" customHeight="1">
      <c r="A10" s="80" t="s">
        <v>221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430" t="s">
        <v>57</v>
      </c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  <c r="DQ10" s="430"/>
      <c r="DR10" s="430"/>
      <c r="DS10" s="430"/>
      <c r="DT10" s="430"/>
      <c r="DU10" s="430"/>
      <c r="DV10" s="430"/>
      <c r="DW10" s="430"/>
      <c r="DX10" s="430"/>
      <c r="DY10" s="430"/>
      <c r="DZ10" s="430"/>
      <c r="EA10" s="430"/>
      <c r="EB10" s="430"/>
      <c r="EC10" s="430"/>
      <c r="ED10" s="430"/>
      <c r="EE10" s="430"/>
      <c r="EF10" s="430"/>
      <c r="EG10" s="430"/>
      <c r="EH10" s="430"/>
      <c r="EI10" s="430"/>
      <c r="EJ10" s="430"/>
      <c r="EK10" s="430"/>
      <c r="EL10" s="430"/>
      <c r="EM10" s="430"/>
      <c r="EN10" s="430"/>
      <c r="EO10" s="430"/>
      <c r="EP10" s="430"/>
      <c r="EQ10" s="430"/>
      <c r="ER10" s="430"/>
      <c r="ES10" s="430"/>
      <c r="ET10" s="430"/>
      <c r="EU10" s="430"/>
      <c r="EV10" s="430"/>
      <c r="EW10" s="430"/>
      <c r="EX10" s="430"/>
      <c r="EY10" s="430"/>
      <c r="EZ10" s="430"/>
      <c r="FA10" s="430"/>
      <c r="FB10" s="430"/>
      <c r="FC10" s="430"/>
      <c r="FD10" s="430"/>
      <c r="FE10" s="430"/>
    </row>
    <row r="11" spans="1:161" s="84" customFormat="1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1" s="84" customFormat="1" ht="15" customHeight="1">
      <c r="A12" s="431" t="s">
        <v>222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47" t="s">
        <v>518</v>
      </c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</row>
    <row r="13" spans="1:161" s="84" customFormat="1" ht="1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</row>
    <row r="14" spans="1:161" s="84" customFormat="1" ht="15" customHeight="1">
      <c r="A14" s="199" t="s">
        <v>223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</row>
    <row r="15" spans="1:161" s="84" customFormat="1" ht="15" customHeight="1" thickBo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</row>
    <row r="16" spans="1:161" s="84" customFormat="1" ht="44.25" customHeight="1">
      <c r="A16" s="507" t="s">
        <v>192</v>
      </c>
      <c r="B16" s="508"/>
      <c r="C16" s="508"/>
      <c r="D16" s="508"/>
      <c r="E16" s="508"/>
      <c r="F16" s="509"/>
      <c r="G16" s="514" t="s">
        <v>224</v>
      </c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9"/>
      <c r="Y16" s="516" t="s">
        <v>519</v>
      </c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7" t="s">
        <v>226</v>
      </c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9"/>
      <c r="DI16" s="514" t="s">
        <v>227</v>
      </c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9"/>
      <c r="DY16" s="514" t="s">
        <v>228</v>
      </c>
      <c r="DZ16" s="508"/>
      <c r="EA16" s="508"/>
      <c r="EB16" s="508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9"/>
      <c r="EO16" s="514" t="s">
        <v>229</v>
      </c>
      <c r="EP16" s="508"/>
      <c r="EQ16" s="508"/>
      <c r="ER16" s="508"/>
      <c r="ES16" s="508"/>
      <c r="ET16" s="508"/>
      <c r="EU16" s="508"/>
      <c r="EV16" s="508"/>
      <c r="EW16" s="508"/>
      <c r="EX16" s="508"/>
      <c r="EY16" s="508"/>
      <c r="EZ16" s="508"/>
      <c r="FA16" s="508"/>
      <c r="FB16" s="508"/>
      <c r="FC16" s="508"/>
      <c r="FD16" s="508"/>
      <c r="FE16" s="520"/>
    </row>
    <row r="17" spans="1:161" s="84" customFormat="1" ht="15" customHeight="1">
      <c r="A17" s="510"/>
      <c r="B17" s="423"/>
      <c r="C17" s="423"/>
      <c r="D17" s="423"/>
      <c r="E17" s="423"/>
      <c r="F17" s="424"/>
      <c r="G17" s="422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4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19" t="s">
        <v>29</v>
      </c>
      <c r="AP17" s="420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1"/>
      <c r="BF17" s="201" t="s">
        <v>6</v>
      </c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3"/>
      <c r="DI17" s="422"/>
      <c r="DJ17" s="423"/>
      <c r="DK17" s="423"/>
      <c r="DL17" s="423"/>
      <c r="DM17" s="423"/>
      <c r="DN17" s="423"/>
      <c r="DO17" s="423"/>
      <c r="DP17" s="423"/>
      <c r="DQ17" s="423"/>
      <c r="DR17" s="423"/>
      <c r="DS17" s="423"/>
      <c r="DT17" s="423"/>
      <c r="DU17" s="423"/>
      <c r="DV17" s="423"/>
      <c r="DW17" s="423"/>
      <c r="DX17" s="424"/>
      <c r="DY17" s="422"/>
      <c r="DZ17" s="423"/>
      <c r="EA17" s="423"/>
      <c r="EB17" s="423"/>
      <c r="EC17" s="423"/>
      <c r="ED17" s="423"/>
      <c r="EE17" s="423"/>
      <c r="EF17" s="423"/>
      <c r="EG17" s="423"/>
      <c r="EH17" s="423"/>
      <c r="EI17" s="423"/>
      <c r="EJ17" s="423"/>
      <c r="EK17" s="423"/>
      <c r="EL17" s="423"/>
      <c r="EM17" s="423"/>
      <c r="EN17" s="424"/>
      <c r="EO17" s="422"/>
      <c r="EP17" s="423"/>
      <c r="EQ17" s="423"/>
      <c r="ER17" s="423"/>
      <c r="ES17" s="423"/>
      <c r="ET17" s="423"/>
      <c r="EU17" s="423"/>
      <c r="EV17" s="423"/>
      <c r="EW17" s="423"/>
      <c r="EX17" s="423"/>
      <c r="EY17" s="423"/>
      <c r="EZ17" s="423"/>
      <c r="FA17" s="423"/>
      <c r="FB17" s="423"/>
      <c r="FC17" s="423"/>
      <c r="FD17" s="423"/>
      <c r="FE17" s="521"/>
    </row>
    <row r="18" spans="1:161" s="84" customFormat="1" ht="39.75" customHeight="1" thickBot="1">
      <c r="A18" s="511"/>
      <c r="B18" s="512"/>
      <c r="C18" s="512"/>
      <c r="D18" s="512"/>
      <c r="E18" s="512"/>
      <c r="F18" s="513"/>
      <c r="G18" s="515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3"/>
      <c r="Y18" s="523" t="s">
        <v>520</v>
      </c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15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3"/>
      <c r="BF18" s="523" t="s">
        <v>230</v>
      </c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  <c r="BU18" s="523"/>
      <c r="BV18" s="523"/>
      <c r="BW18" s="523"/>
      <c r="BX18" s="523" t="s">
        <v>231</v>
      </c>
      <c r="BY18" s="523"/>
      <c r="BZ18" s="523"/>
      <c r="CA18" s="523"/>
      <c r="CB18" s="523"/>
      <c r="CC18" s="523"/>
      <c r="CD18" s="523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3"/>
      <c r="CP18" s="523"/>
      <c r="CQ18" s="523" t="s">
        <v>232</v>
      </c>
      <c r="CR18" s="523"/>
      <c r="CS18" s="523"/>
      <c r="CT18" s="523"/>
      <c r="CU18" s="523"/>
      <c r="CV18" s="523"/>
      <c r="CW18" s="523"/>
      <c r="CX18" s="523"/>
      <c r="CY18" s="523"/>
      <c r="CZ18" s="523"/>
      <c r="DA18" s="523"/>
      <c r="DB18" s="523"/>
      <c r="DC18" s="523"/>
      <c r="DD18" s="523"/>
      <c r="DE18" s="523"/>
      <c r="DF18" s="523"/>
      <c r="DG18" s="523"/>
      <c r="DH18" s="523"/>
      <c r="DI18" s="515"/>
      <c r="DJ18" s="512"/>
      <c r="DK18" s="512"/>
      <c r="DL18" s="512"/>
      <c r="DM18" s="512"/>
      <c r="DN18" s="512"/>
      <c r="DO18" s="512"/>
      <c r="DP18" s="512"/>
      <c r="DQ18" s="512"/>
      <c r="DR18" s="512"/>
      <c r="DS18" s="512"/>
      <c r="DT18" s="512"/>
      <c r="DU18" s="512"/>
      <c r="DV18" s="512"/>
      <c r="DW18" s="512"/>
      <c r="DX18" s="513"/>
      <c r="DY18" s="515"/>
      <c r="DZ18" s="512"/>
      <c r="EA18" s="512"/>
      <c r="EB18" s="512"/>
      <c r="EC18" s="512"/>
      <c r="ED18" s="512"/>
      <c r="EE18" s="512"/>
      <c r="EF18" s="512"/>
      <c r="EG18" s="512"/>
      <c r="EH18" s="512"/>
      <c r="EI18" s="512"/>
      <c r="EJ18" s="512"/>
      <c r="EK18" s="512"/>
      <c r="EL18" s="512"/>
      <c r="EM18" s="512"/>
      <c r="EN18" s="513"/>
      <c r="EO18" s="515"/>
      <c r="EP18" s="512"/>
      <c r="EQ18" s="512"/>
      <c r="ER18" s="512"/>
      <c r="ES18" s="512"/>
      <c r="ET18" s="512"/>
      <c r="EU18" s="512"/>
      <c r="EV18" s="512"/>
      <c r="EW18" s="512"/>
      <c r="EX18" s="512"/>
      <c r="EY18" s="512"/>
      <c r="EZ18" s="512"/>
      <c r="FA18" s="512"/>
      <c r="FB18" s="512"/>
      <c r="FC18" s="512"/>
      <c r="FD18" s="512"/>
      <c r="FE18" s="522"/>
    </row>
    <row r="19" spans="1:161" s="84" customFormat="1" ht="15" customHeight="1" thickBot="1">
      <c r="A19" s="524">
        <v>1</v>
      </c>
      <c r="B19" s="525"/>
      <c r="C19" s="525"/>
      <c r="D19" s="525"/>
      <c r="E19" s="525"/>
      <c r="F19" s="525"/>
      <c r="G19" s="525">
        <v>2</v>
      </c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>
        <v>3</v>
      </c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>
        <v>4</v>
      </c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>
        <v>5</v>
      </c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>
        <v>6</v>
      </c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>
        <v>7</v>
      </c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>
        <v>8</v>
      </c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>
        <v>9</v>
      </c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>
        <v>10</v>
      </c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6"/>
    </row>
    <row r="20" spans="1:161" s="84" customFormat="1" ht="15" customHeight="1">
      <c r="A20" s="527" t="s">
        <v>169</v>
      </c>
      <c r="B20" s="528"/>
      <c r="C20" s="528"/>
      <c r="D20" s="528"/>
      <c r="E20" s="528"/>
      <c r="F20" s="529"/>
      <c r="G20" s="533" t="s">
        <v>333</v>
      </c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5"/>
      <c r="Y20" s="539">
        <v>0</v>
      </c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1"/>
      <c r="AO20" s="542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4"/>
      <c r="BF20" s="545"/>
      <c r="BG20" s="546"/>
      <c r="BH20" s="546"/>
      <c r="BI20" s="546"/>
      <c r="BJ20" s="546"/>
      <c r="BK20" s="546"/>
      <c r="BL20" s="546"/>
      <c r="BM20" s="546"/>
      <c r="BN20" s="546"/>
      <c r="BO20" s="546"/>
      <c r="BP20" s="546"/>
      <c r="BQ20" s="546"/>
      <c r="BR20" s="546"/>
      <c r="BS20" s="546"/>
      <c r="BT20" s="546"/>
      <c r="BU20" s="546"/>
      <c r="BV20" s="546"/>
      <c r="BW20" s="547"/>
      <c r="BX20" s="545"/>
      <c r="BY20" s="546"/>
      <c r="BZ20" s="546"/>
      <c r="CA20" s="546"/>
      <c r="CB20" s="546"/>
      <c r="CC20" s="546"/>
      <c r="CD20" s="546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6"/>
      <c r="CP20" s="547"/>
      <c r="CQ20" s="551">
        <v>0</v>
      </c>
      <c r="CR20" s="552"/>
      <c r="CS20" s="552"/>
      <c r="CT20" s="552"/>
      <c r="CU20" s="552"/>
      <c r="CV20" s="552"/>
      <c r="CW20" s="552"/>
      <c r="CX20" s="552"/>
      <c r="CY20" s="552"/>
      <c r="CZ20" s="552"/>
      <c r="DA20" s="552"/>
      <c r="DB20" s="552"/>
      <c r="DC20" s="552"/>
      <c r="DD20" s="552"/>
      <c r="DE20" s="552"/>
      <c r="DF20" s="552"/>
      <c r="DG20" s="552"/>
      <c r="DH20" s="553"/>
      <c r="DI20" s="545"/>
      <c r="DJ20" s="546"/>
      <c r="DK20" s="546"/>
      <c r="DL20" s="546"/>
      <c r="DM20" s="546"/>
      <c r="DN20" s="546"/>
      <c r="DO20" s="546"/>
      <c r="DP20" s="546"/>
      <c r="DQ20" s="546"/>
      <c r="DR20" s="546"/>
      <c r="DS20" s="546"/>
      <c r="DT20" s="546"/>
      <c r="DU20" s="546"/>
      <c r="DV20" s="546"/>
      <c r="DW20" s="546"/>
      <c r="DX20" s="547"/>
      <c r="DY20" s="545"/>
      <c r="DZ20" s="546"/>
      <c r="EA20" s="546"/>
      <c r="EB20" s="546"/>
      <c r="EC20" s="546"/>
      <c r="ED20" s="546"/>
      <c r="EE20" s="546"/>
      <c r="EF20" s="546"/>
      <c r="EG20" s="546"/>
      <c r="EH20" s="546"/>
      <c r="EI20" s="546"/>
      <c r="EJ20" s="546"/>
      <c r="EK20" s="546"/>
      <c r="EL20" s="546"/>
      <c r="EM20" s="546"/>
      <c r="EN20" s="547"/>
      <c r="EO20" s="542"/>
      <c r="EP20" s="543"/>
      <c r="EQ20" s="543"/>
      <c r="ER20" s="543"/>
      <c r="ES20" s="543"/>
      <c r="ET20" s="543"/>
      <c r="EU20" s="543"/>
      <c r="EV20" s="543"/>
      <c r="EW20" s="543"/>
      <c r="EX20" s="543"/>
      <c r="EY20" s="543"/>
      <c r="EZ20" s="543"/>
      <c r="FA20" s="543"/>
      <c r="FB20" s="543"/>
      <c r="FC20" s="543"/>
      <c r="FD20" s="543"/>
      <c r="FE20" s="554"/>
    </row>
    <row r="21" spans="1:161" s="84" customFormat="1" ht="29.25" customHeight="1" thickBot="1">
      <c r="A21" s="530"/>
      <c r="B21" s="531"/>
      <c r="C21" s="531"/>
      <c r="D21" s="531"/>
      <c r="E21" s="531"/>
      <c r="F21" s="532"/>
      <c r="G21" s="536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8"/>
      <c r="Y21" s="555">
        <v>11</v>
      </c>
      <c r="Z21" s="555"/>
      <c r="AA21" s="555"/>
      <c r="AB21" s="555"/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6">
        <f>BF20+BX20+CQ21</f>
        <v>15353.36</v>
      </c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8"/>
      <c r="BF21" s="548"/>
      <c r="BG21" s="549"/>
      <c r="BH21" s="549"/>
      <c r="BI21" s="549"/>
      <c r="BJ21" s="549"/>
      <c r="BK21" s="549"/>
      <c r="BL21" s="549"/>
      <c r="BM21" s="549"/>
      <c r="BN21" s="549"/>
      <c r="BO21" s="549"/>
      <c r="BP21" s="549"/>
      <c r="BQ21" s="549"/>
      <c r="BR21" s="549"/>
      <c r="BS21" s="549"/>
      <c r="BT21" s="549"/>
      <c r="BU21" s="549"/>
      <c r="BV21" s="549"/>
      <c r="BW21" s="550"/>
      <c r="BX21" s="548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49"/>
      <c r="CM21" s="549"/>
      <c r="CN21" s="549"/>
      <c r="CO21" s="549"/>
      <c r="CP21" s="550"/>
      <c r="CQ21" s="559">
        <f>168887/Y21</f>
        <v>15353.36</v>
      </c>
      <c r="CR21" s="560"/>
      <c r="CS21" s="560"/>
      <c r="CT21" s="560"/>
      <c r="CU21" s="560"/>
      <c r="CV21" s="560"/>
      <c r="CW21" s="560"/>
      <c r="CX21" s="560"/>
      <c r="CY21" s="560"/>
      <c r="CZ21" s="560"/>
      <c r="DA21" s="560"/>
      <c r="DB21" s="560"/>
      <c r="DC21" s="560"/>
      <c r="DD21" s="560"/>
      <c r="DE21" s="560"/>
      <c r="DF21" s="560"/>
      <c r="DG21" s="560"/>
      <c r="DH21" s="561"/>
      <c r="DI21" s="548"/>
      <c r="DJ21" s="549"/>
      <c r="DK21" s="549"/>
      <c r="DL21" s="549"/>
      <c r="DM21" s="549"/>
      <c r="DN21" s="549"/>
      <c r="DO21" s="549"/>
      <c r="DP21" s="549"/>
      <c r="DQ21" s="549"/>
      <c r="DR21" s="549"/>
      <c r="DS21" s="549"/>
      <c r="DT21" s="549"/>
      <c r="DU21" s="549"/>
      <c r="DV21" s="549"/>
      <c r="DW21" s="549"/>
      <c r="DX21" s="550"/>
      <c r="DY21" s="548"/>
      <c r="DZ21" s="549"/>
      <c r="EA21" s="549"/>
      <c r="EB21" s="549"/>
      <c r="EC21" s="549"/>
      <c r="ED21" s="549"/>
      <c r="EE21" s="549"/>
      <c r="EF21" s="549"/>
      <c r="EG21" s="549"/>
      <c r="EH21" s="549"/>
      <c r="EI21" s="549"/>
      <c r="EJ21" s="549"/>
      <c r="EK21" s="549"/>
      <c r="EL21" s="549"/>
      <c r="EM21" s="549"/>
      <c r="EN21" s="550"/>
      <c r="EO21" s="562">
        <f>Y21*AO21*12</f>
        <v>2026644</v>
      </c>
      <c r="EP21" s="563"/>
      <c r="EQ21" s="563"/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4"/>
    </row>
    <row r="22" spans="1:161" s="84" customFormat="1" ht="15" customHeight="1">
      <c r="A22" s="527" t="s">
        <v>37</v>
      </c>
      <c r="B22" s="528"/>
      <c r="C22" s="528"/>
      <c r="D22" s="528"/>
      <c r="E22" s="528"/>
      <c r="F22" s="529"/>
      <c r="G22" s="533" t="s">
        <v>334</v>
      </c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5"/>
      <c r="Y22" s="565">
        <v>2</v>
      </c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6">
        <f aca="true" t="shared" si="0" ref="AO22:AO27">BF22+BX22+CQ22</f>
        <v>26637.72</v>
      </c>
      <c r="AP22" s="566"/>
      <c r="AQ22" s="566"/>
      <c r="AR22" s="566"/>
      <c r="AS22" s="566"/>
      <c r="AT22" s="566"/>
      <c r="AU22" s="566"/>
      <c r="AV22" s="566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>
        <f>37784/Y22</f>
        <v>18892</v>
      </c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6"/>
      <c r="BZ22" s="566"/>
      <c r="CA22" s="566"/>
      <c r="CB22" s="566"/>
      <c r="CC22" s="566"/>
      <c r="CD22" s="566"/>
      <c r="CE22" s="566"/>
      <c r="CF22" s="566"/>
      <c r="CG22" s="566"/>
      <c r="CH22" s="566"/>
      <c r="CI22" s="566"/>
      <c r="CJ22" s="566"/>
      <c r="CK22" s="566"/>
      <c r="CL22" s="566"/>
      <c r="CM22" s="566"/>
      <c r="CN22" s="566"/>
      <c r="CO22" s="566"/>
      <c r="CP22" s="566"/>
      <c r="CQ22" s="568">
        <f>(11335.2+4156.24)/Y22</f>
        <v>7745.72</v>
      </c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9"/>
      <c r="DJ22" s="570"/>
      <c r="DK22" s="570"/>
      <c r="DL22" s="570"/>
      <c r="DM22" s="570"/>
      <c r="DN22" s="570"/>
      <c r="DO22" s="570"/>
      <c r="DP22" s="570"/>
      <c r="DQ22" s="570"/>
      <c r="DR22" s="570"/>
      <c r="DS22" s="570"/>
      <c r="DT22" s="570"/>
      <c r="DU22" s="570"/>
      <c r="DV22" s="570"/>
      <c r="DW22" s="570"/>
      <c r="DX22" s="571"/>
      <c r="DY22" s="569"/>
      <c r="DZ22" s="570"/>
      <c r="EA22" s="570"/>
      <c r="EB22" s="570"/>
      <c r="EC22" s="570"/>
      <c r="ED22" s="570"/>
      <c r="EE22" s="570"/>
      <c r="EF22" s="570"/>
      <c r="EG22" s="570"/>
      <c r="EH22" s="570"/>
      <c r="EI22" s="570"/>
      <c r="EJ22" s="570"/>
      <c r="EK22" s="570"/>
      <c r="EL22" s="570"/>
      <c r="EM22" s="570"/>
      <c r="EN22" s="571"/>
      <c r="EO22" s="566">
        <f aca="true" t="shared" si="1" ref="EO22:EO37">(Y22)*AO22*12</f>
        <v>639305.28</v>
      </c>
      <c r="EP22" s="566"/>
      <c r="EQ22" s="566"/>
      <c r="ER22" s="566"/>
      <c r="ES22" s="566"/>
      <c r="ET22" s="566"/>
      <c r="EU22" s="566"/>
      <c r="EV22" s="566"/>
      <c r="EW22" s="566"/>
      <c r="EX22" s="566"/>
      <c r="EY22" s="566"/>
      <c r="EZ22" s="566"/>
      <c r="FA22" s="566"/>
      <c r="FB22" s="566"/>
      <c r="FC22" s="566"/>
      <c r="FD22" s="566"/>
      <c r="FE22" s="575"/>
    </row>
    <row r="23" spans="1:161" s="84" customFormat="1" ht="15" customHeight="1" thickBot="1">
      <c r="A23" s="530"/>
      <c r="B23" s="531"/>
      <c r="C23" s="531"/>
      <c r="D23" s="531"/>
      <c r="E23" s="531"/>
      <c r="F23" s="532"/>
      <c r="G23" s="536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8"/>
      <c r="Y23" s="555">
        <v>1</v>
      </c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67">
        <f t="shared" si="0"/>
        <v>1375.04</v>
      </c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  <c r="BO23" s="567"/>
      <c r="BP23" s="567"/>
      <c r="BQ23" s="567"/>
      <c r="BR23" s="567"/>
      <c r="BS23" s="567"/>
      <c r="BT23" s="567"/>
      <c r="BU23" s="567"/>
      <c r="BV23" s="567"/>
      <c r="BW23" s="567"/>
      <c r="BX23" s="567"/>
      <c r="BY23" s="567"/>
      <c r="BZ23" s="567"/>
      <c r="CA23" s="567"/>
      <c r="CB23" s="567"/>
      <c r="CC23" s="567"/>
      <c r="CD23" s="567"/>
      <c r="CE23" s="567"/>
      <c r="CF23" s="567"/>
      <c r="CG23" s="567"/>
      <c r="CH23" s="567"/>
      <c r="CI23" s="567"/>
      <c r="CJ23" s="567"/>
      <c r="CK23" s="567"/>
      <c r="CL23" s="567"/>
      <c r="CM23" s="567"/>
      <c r="CN23" s="567"/>
      <c r="CO23" s="567"/>
      <c r="CP23" s="567"/>
      <c r="CQ23" s="576">
        <f>1375.04/Y23</f>
        <v>1375.04</v>
      </c>
      <c r="CR23" s="576"/>
      <c r="CS23" s="576"/>
      <c r="CT23" s="576"/>
      <c r="CU23" s="576"/>
      <c r="CV23" s="576"/>
      <c r="CW23" s="576"/>
      <c r="CX23" s="576"/>
      <c r="CY23" s="576"/>
      <c r="CZ23" s="576"/>
      <c r="DA23" s="576"/>
      <c r="DB23" s="576"/>
      <c r="DC23" s="576"/>
      <c r="DD23" s="576"/>
      <c r="DE23" s="576"/>
      <c r="DF23" s="576"/>
      <c r="DG23" s="576"/>
      <c r="DH23" s="576"/>
      <c r="DI23" s="572"/>
      <c r="DJ23" s="573"/>
      <c r="DK23" s="573"/>
      <c r="DL23" s="573"/>
      <c r="DM23" s="573"/>
      <c r="DN23" s="573"/>
      <c r="DO23" s="573"/>
      <c r="DP23" s="573"/>
      <c r="DQ23" s="573"/>
      <c r="DR23" s="573"/>
      <c r="DS23" s="573"/>
      <c r="DT23" s="573"/>
      <c r="DU23" s="573"/>
      <c r="DV23" s="573"/>
      <c r="DW23" s="573"/>
      <c r="DX23" s="574"/>
      <c r="DY23" s="572"/>
      <c r="DZ23" s="573"/>
      <c r="EA23" s="573"/>
      <c r="EB23" s="573"/>
      <c r="EC23" s="573"/>
      <c r="ED23" s="573"/>
      <c r="EE23" s="573"/>
      <c r="EF23" s="573"/>
      <c r="EG23" s="573"/>
      <c r="EH23" s="573"/>
      <c r="EI23" s="573"/>
      <c r="EJ23" s="573"/>
      <c r="EK23" s="573"/>
      <c r="EL23" s="573"/>
      <c r="EM23" s="573"/>
      <c r="EN23" s="574"/>
      <c r="EO23" s="567">
        <f t="shared" si="1"/>
        <v>16500.48</v>
      </c>
      <c r="EP23" s="567"/>
      <c r="EQ23" s="567"/>
      <c r="ER23" s="567"/>
      <c r="ES23" s="567"/>
      <c r="ET23" s="567"/>
      <c r="EU23" s="567"/>
      <c r="EV23" s="567"/>
      <c r="EW23" s="567"/>
      <c r="EX23" s="567"/>
      <c r="EY23" s="567"/>
      <c r="EZ23" s="567"/>
      <c r="FA23" s="567"/>
      <c r="FB23" s="567"/>
      <c r="FC23" s="567"/>
      <c r="FD23" s="567"/>
      <c r="FE23" s="577"/>
    </row>
    <row r="24" spans="1:161" s="84" customFormat="1" ht="15" customHeight="1">
      <c r="A24" s="527" t="s">
        <v>38</v>
      </c>
      <c r="B24" s="528"/>
      <c r="C24" s="528"/>
      <c r="D24" s="528"/>
      <c r="E24" s="528"/>
      <c r="F24" s="529"/>
      <c r="G24" s="533" t="s">
        <v>335</v>
      </c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5"/>
      <c r="Y24" s="578">
        <v>6.5</v>
      </c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80"/>
      <c r="AO24" s="566">
        <f t="shared" si="0"/>
        <v>37687.18</v>
      </c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>
        <f>142570/Y24</f>
        <v>21933.85</v>
      </c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>
        <f>33802.25/Y24</f>
        <v>5200.35</v>
      </c>
      <c r="BY24" s="566"/>
      <c r="BZ24" s="566"/>
      <c r="CA24" s="566"/>
      <c r="CB24" s="566"/>
      <c r="CC24" s="566"/>
      <c r="CD24" s="566"/>
      <c r="CE24" s="566"/>
      <c r="CF24" s="566"/>
      <c r="CG24" s="566"/>
      <c r="CH24" s="566"/>
      <c r="CI24" s="566"/>
      <c r="CJ24" s="566"/>
      <c r="CK24" s="566"/>
      <c r="CL24" s="566"/>
      <c r="CM24" s="566"/>
      <c r="CN24" s="566"/>
      <c r="CO24" s="566"/>
      <c r="CP24" s="566"/>
      <c r="CQ24" s="568">
        <f>(52911.69+15682.7)/Y24</f>
        <v>10552.98</v>
      </c>
      <c r="CR24" s="568"/>
      <c r="CS24" s="568"/>
      <c r="CT24" s="568"/>
      <c r="CU24" s="568"/>
      <c r="CV24" s="568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6"/>
      <c r="DJ24" s="566"/>
      <c r="DK24" s="566"/>
      <c r="DL24" s="566"/>
      <c r="DM24" s="566"/>
      <c r="DN24" s="566"/>
      <c r="DO24" s="566"/>
      <c r="DP24" s="566"/>
      <c r="DQ24" s="566"/>
      <c r="DR24" s="566"/>
      <c r="DS24" s="566"/>
      <c r="DT24" s="566"/>
      <c r="DU24" s="566"/>
      <c r="DV24" s="566"/>
      <c r="DW24" s="566"/>
      <c r="DX24" s="566"/>
      <c r="DY24" s="566"/>
      <c r="DZ24" s="566"/>
      <c r="EA24" s="566"/>
      <c r="EB24" s="566"/>
      <c r="EC24" s="566"/>
      <c r="ED24" s="566"/>
      <c r="EE24" s="566"/>
      <c r="EF24" s="566"/>
      <c r="EG24" s="566"/>
      <c r="EH24" s="566"/>
      <c r="EI24" s="566"/>
      <c r="EJ24" s="566"/>
      <c r="EK24" s="566"/>
      <c r="EL24" s="566"/>
      <c r="EM24" s="566"/>
      <c r="EN24" s="566"/>
      <c r="EO24" s="566">
        <f t="shared" si="1"/>
        <v>2939600.04</v>
      </c>
      <c r="EP24" s="566"/>
      <c r="EQ24" s="566"/>
      <c r="ER24" s="566"/>
      <c r="ES24" s="566"/>
      <c r="ET24" s="566"/>
      <c r="EU24" s="566"/>
      <c r="EV24" s="566"/>
      <c r="EW24" s="566"/>
      <c r="EX24" s="566"/>
      <c r="EY24" s="566"/>
      <c r="EZ24" s="566"/>
      <c r="FA24" s="566"/>
      <c r="FB24" s="566"/>
      <c r="FC24" s="566"/>
      <c r="FD24" s="566"/>
      <c r="FE24" s="575"/>
    </row>
    <row r="25" spans="1:161" s="84" customFormat="1" ht="15" customHeight="1" thickBot="1">
      <c r="A25" s="530"/>
      <c r="B25" s="531"/>
      <c r="C25" s="531"/>
      <c r="D25" s="531"/>
      <c r="E25" s="531"/>
      <c r="F25" s="532"/>
      <c r="G25" s="536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8"/>
      <c r="Y25" s="555">
        <v>11</v>
      </c>
      <c r="Z25" s="555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555"/>
      <c r="AL25" s="555"/>
      <c r="AM25" s="555"/>
      <c r="AN25" s="555"/>
      <c r="AO25" s="567">
        <f t="shared" si="0"/>
        <v>2202.15</v>
      </c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7"/>
      <c r="CE25" s="567"/>
      <c r="CF25" s="567"/>
      <c r="CG25" s="567"/>
      <c r="CH25" s="567"/>
      <c r="CI25" s="567"/>
      <c r="CJ25" s="567"/>
      <c r="CK25" s="567"/>
      <c r="CL25" s="567"/>
      <c r="CM25" s="567"/>
      <c r="CN25" s="567"/>
      <c r="CO25" s="567"/>
      <c r="CP25" s="567"/>
      <c r="CQ25" s="576">
        <f>24223.65/Y25</f>
        <v>2202.15</v>
      </c>
      <c r="CR25" s="576"/>
      <c r="CS25" s="576"/>
      <c r="CT25" s="576"/>
      <c r="CU25" s="576"/>
      <c r="CV25" s="576"/>
      <c r="CW25" s="576"/>
      <c r="CX25" s="576"/>
      <c r="CY25" s="576"/>
      <c r="CZ25" s="576"/>
      <c r="DA25" s="576"/>
      <c r="DB25" s="576"/>
      <c r="DC25" s="576"/>
      <c r="DD25" s="576"/>
      <c r="DE25" s="576"/>
      <c r="DF25" s="576"/>
      <c r="DG25" s="576"/>
      <c r="DH25" s="576"/>
      <c r="DI25" s="567"/>
      <c r="DJ25" s="567"/>
      <c r="DK25" s="567"/>
      <c r="DL25" s="567"/>
      <c r="DM25" s="567"/>
      <c r="DN25" s="567"/>
      <c r="DO25" s="567"/>
      <c r="DP25" s="567"/>
      <c r="DQ25" s="567"/>
      <c r="DR25" s="567"/>
      <c r="DS25" s="567"/>
      <c r="DT25" s="567"/>
      <c r="DU25" s="567"/>
      <c r="DV25" s="567"/>
      <c r="DW25" s="567"/>
      <c r="DX25" s="567"/>
      <c r="DY25" s="567"/>
      <c r="DZ25" s="567"/>
      <c r="EA25" s="567"/>
      <c r="EB25" s="567"/>
      <c r="EC25" s="567"/>
      <c r="ED25" s="567"/>
      <c r="EE25" s="567"/>
      <c r="EF25" s="567"/>
      <c r="EG25" s="567"/>
      <c r="EH25" s="567"/>
      <c r="EI25" s="567"/>
      <c r="EJ25" s="567"/>
      <c r="EK25" s="567"/>
      <c r="EL25" s="567"/>
      <c r="EM25" s="567"/>
      <c r="EN25" s="567"/>
      <c r="EO25" s="567">
        <f t="shared" si="1"/>
        <v>290683.8</v>
      </c>
      <c r="EP25" s="567"/>
      <c r="EQ25" s="567"/>
      <c r="ER25" s="567"/>
      <c r="ES25" s="567"/>
      <c r="ET25" s="567"/>
      <c r="EU25" s="567"/>
      <c r="EV25" s="567"/>
      <c r="EW25" s="567"/>
      <c r="EX25" s="567"/>
      <c r="EY25" s="567"/>
      <c r="EZ25" s="567"/>
      <c r="FA25" s="567"/>
      <c r="FB25" s="567"/>
      <c r="FC25" s="567"/>
      <c r="FD25" s="567"/>
      <c r="FE25" s="577"/>
    </row>
    <row r="26" spans="1:161" s="84" customFormat="1" ht="24" customHeight="1">
      <c r="A26" s="527" t="s">
        <v>319</v>
      </c>
      <c r="B26" s="528"/>
      <c r="C26" s="528"/>
      <c r="D26" s="528"/>
      <c r="E26" s="528"/>
      <c r="F26" s="529"/>
      <c r="G26" s="533" t="s">
        <v>336</v>
      </c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5"/>
      <c r="Y26" s="581">
        <v>23</v>
      </c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3"/>
      <c r="AO26" s="584">
        <f t="shared" si="0"/>
        <v>20172.58</v>
      </c>
      <c r="AP26" s="584"/>
      <c r="AQ26" s="584"/>
      <c r="AR26" s="584"/>
      <c r="AS26" s="584"/>
      <c r="AT26" s="584"/>
      <c r="AU26" s="584"/>
      <c r="AV26" s="584"/>
      <c r="AW26" s="584"/>
      <c r="AX26" s="584"/>
      <c r="AY26" s="584"/>
      <c r="AZ26" s="584"/>
      <c r="BA26" s="584"/>
      <c r="BB26" s="584"/>
      <c r="BC26" s="584"/>
      <c r="BD26" s="584"/>
      <c r="BE26" s="584"/>
      <c r="BF26" s="584">
        <f>326692.5/Y26</f>
        <v>14204.02</v>
      </c>
      <c r="BG26" s="584"/>
      <c r="BH26" s="584"/>
      <c r="BI26" s="584"/>
      <c r="BJ26" s="584"/>
      <c r="BK26" s="584"/>
      <c r="BL26" s="584"/>
      <c r="BM26" s="584"/>
      <c r="BN26" s="584"/>
      <c r="BO26" s="584"/>
      <c r="BP26" s="584"/>
      <c r="BQ26" s="584"/>
      <c r="BR26" s="584"/>
      <c r="BS26" s="584"/>
      <c r="BT26" s="584"/>
      <c r="BU26" s="584"/>
      <c r="BV26" s="584"/>
      <c r="BW26" s="584"/>
      <c r="BX26" s="584">
        <f>3333/Y26</f>
        <v>144.91</v>
      </c>
      <c r="BY26" s="584"/>
      <c r="BZ26" s="584"/>
      <c r="CA26" s="584"/>
      <c r="CB26" s="584"/>
      <c r="CC26" s="584"/>
      <c r="CD26" s="584"/>
      <c r="CE26" s="584"/>
      <c r="CF26" s="584"/>
      <c r="CG26" s="584"/>
      <c r="CH26" s="584"/>
      <c r="CI26" s="584"/>
      <c r="CJ26" s="584"/>
      <c r="CK26" s="584"/>
      <c r="CL26" s="584"/>
      <c r="CM26" s="584"/>
      <c r="CN26" s="584"/>
      <c r="CO26" s="584"/>
      <c r="CP26" s="584"/>
      <c r="CQ26" s="584">
        <f>(98007.75+35936.18)/Y26</f>
        <v>5823.65</v>
      </c>
      <c r="CR26" s="584"/>
      <c r="CS26" s="584"/>
      <c r="CT26" s="584"/>
      <c r="CU26" s="584"/>
      <c r="CV26" s="584"/>
      <c r="CW26" s="584"/>
      <c r="CX26" s="584"/>
      <c r="CY26" s="584"/>
      <c r="CZ26" s="584"/>
      <c r="DA26" s="584"/>
      <c r="DB26" s="584"/>
      <c r="DC26" s="584"/>
      <c r="DD26" s="584"/>
      <c r="DE26" s="584"/>
      <c r="DF26" s="584"/>
      <c r="DG26" s="584"/>
      <c r="DH26" s="584"/>
      <c r="DI26" s="566"/>
      <c r="DJ26" s="566"/>
      <c r="DK26" s="566"/>
      <c r="DL26" s="566"/>
      <c r="DM26" s="566"/>
      <c r="DN26" s="566"/>
      <c r="DO26" s="566"/>
      <c r="DP26" s="566"/>
      <c r="DQ26" s="566"/>
      <c r="DR26" s="566"/>
      <c r="DS26" s="566"/>
      <c r="DT26" s="566"/>
      <c r="DU26" s="566"/>
      <c r="DV26" s="566"/>
      <c r="DW26" s="566"/>
      <c r="DX26" s="566"/>
      <c r="DY26" s="566"/>
      <c r="DZ26" s="566"/>
      <c r="EA26" s="566"/>
      <c r="EB26" s="566"/>
      <c r="EC26" s="566"/>
      <c r="ED26" s="566"/>
      <c r="EE26" s="566"/>
      <c r="EF26" s="566"/>
      <c r="EG26" s="566"/>
      <c r="EH26" s="566"/>
      <c r="EI26" s="566"/>
      <c r="EJ26" s="566"/>
      <c r="EK26" s="566"/>
      <c r="EL26" s="566"/>
      <c r="EM26" s="566"/>
      <c r="EN26" s="566"/>
      <c r="EO26" s="566">
        <f t="shared" si="1"/>
        <v>5567632.08</v>
      </c>
      <c r="EP26" s="566"/>
      <c r="EQ26" s="566"/>
      <c r="ER26" s="566"/>
      <c r="ES26" s="566"/>
      <c r="ET26" s="566"/>
      <c r="EU26" s="566"/>
      <c r="EV26" s="566"/>
      <c r="EW26" s="566"/>
      <c r="EX26" s="566"/>
      <c r="EY26" s="566"/>
      <c r="EZ26" s="566"/>
      <c r="FA26" s="566"/>
      <c r="FB26" s="566"/>
      <c r="FC26" s="566"/>
      <c r="FD26" s="566"/>
      <c r="FE26" s="575"/>
    </row>
    <row r="27" spans="1:161" s="84" customFormat="1" ht="22.5" customHeight="1" thickBot="1">
      <c r="A27" s="530"/>
      <c r="B27" s="531"/>
      <c r="C27" s="531"/>
      <c r="D27" s="531"/>
      <c r="E27" s="531"/>
      <c r="F27" s="532"/>
      <c r="G27" s="536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8"/>
      <c r="Y27" s="555">
        <v>204.1</v>
      </c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5"/>
      <c r="AL27" s="555"/>
      <c r="AM27" s="555"/>
      <c r="AN27" s="555"/>
      <c r="AO27" s="567">
        <f t="shared" si="0"/>
        <v>1563.92</v>
      </c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  <c r="BS27" s="567"/>
      <c r="BT27" s="567"/>
      <c r="BU27" s="567"/>
      <c r="BV27" s="567"/>
      <c r="BW27" s="567"/>
      <c r="BX27" s="567"/>
      <c r="BY27" s="567"/>
      <c r="BZ27" s="567"/>
      <c r="CA27" s="567"/>
      <c r="CB27" s="567"/>
      <c r="CC27" s="567"/>
      <c r="CD27" s="567"/>
      <c r="CE27" s="567"/>
      <c r="CF27" s="567"/>
      <c r="CG27" s="567"/>
      <c r="CH27" s="567"/>
      <c r="CI27" s="567"/>
      <c r="CJ27" s="567"/>
      <c r="CK27" s="567"/>
      <c r="CL27" s="567"/>
      <c r="CM27" s="567"/>
      <c r="CN27" s="567"/>
      <c r="CO27" s="567"/>
      <c r="CP27" s="567"/>
      <c r="CQ27" s="576">
        <f>319196.13/Y27</f>
        <v>1563.92</v>
      </c>
      <c r="CR27" s="576"/>
      <c r="CS27" s="576"/>
      <c r="CT27" s="576"/>
      <c r="CU27" s="576"/>
      <c r="CV27" s="576"/>
      <c r="CW27" s="576"/>
      <c r="CX27" s="576"/>
      <c r="CY27" s="576"/>
      <c r="CZ27" s="576"/>
      <c r="DA27" s="576"/>
      <c r="DB27" s="576"/>
      <c r="DC27" s="576"/>
      <c r="DD27" s="576"/>
      <c r="DE27" s="576"/>
      <c r="DF27" s="576"/>
      <c r="DG27" s="576"/>
      <c r="DH27" s="576"/>
      <c r="DI27" s="567"/>
      <c r="DJ27" s="567"/>
      <c r="DK27" s="567"/>
      <c r="DL27" s="567"/>
      <c r="DM27" s="567"/>
      <c r="DN27" s="567"/>
      <c r="DO27" s="567"/>
      <c r="DP27" s="567"/>
      <c r="DQ27" s="567"/>
      <c r="DR27" s="567"/>
      <c r="DS27" s="567"/>
      <c r="DT27" s="567"/>
      <c r="DU27" s="567"/>
      <c r="DV27" s="567"/>
      <c r="DW27" s="567"/>
      <c r="DX27" s="567"/>
      <c r="DY27" s="567"/>
      <c r="DZ27" s="567"/>
      <c r="EA27" s="567"/>
      <c r="EB27" s="567"/>
      <c r="EC27" s="567"/>
      <c r="ED27" s="567"/>
      <c r="EE27" s="567"/>
      <c r="EF27" s="567"/>
      <c r="EG27" s="567"/>
      <c r="EH27" s="567"/>
      <c r="EI27" s="567"/>
      <c r="EJ27" s="567"/>
      <c r="EK27" s="567"/>
      <c r="EL27" s="567"/>
      <c r="EM27" s="567"/>
      <c r="EN27" s="567"/>
      <c r="EO27" s="567">
        <f t="shared" si="1"/>
        <v>3830352.86</v>
      </c>
      <c r="EP27" s="567"/>
      <c r="EQ27" s="567"/>
      <c r="ER27" s="567"/>
      <c r="ES27" s="567"/>
      <c r="ET27" s="567"/>
      <c r="EU27" s="567"/>
      <c r="EV27" s="567"/>
      <c r="EW27" s="567"/>
      <c r="EX27" s="567"/>
      <c r="EY27" s="567"/>
      <c r="EZ27" s="567"/>
      <c r="FA27" s="567"/>
      <c r="FB27" s="567"/>
      <c r="FC27" s="567"/>
      <c r="FD27" s="567"/>
      <c r="FE27" s="577"/>
    </row>
    <row r="28" spans="1:161" s="84" customFormat="1" ht="25.5" customHeight="1">
      <c r="A28" s="527" t="s">
        <v>320</v>
      </c>
      <c r="B28" s="528"/>
      <c r="C28" s="528"/>
      <c r="D28" s="528"/>
      <c r="E28" s="528"/>
      <c r="F28" s="529"/>
      <c r="G28" s="533" t="s">
        <v>337</v>
      </c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5"/>
      <c r="Y28" s="578">
        <v>14.5</v>
      </c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80"/>
      <c r="AO28" s="566">
        <f>BF28+CQ28</f>
        <v>32181.88</v>
      </c>
      <c r="AP28" s="566"/>
      <c r="AQ28" s="566"/>
      <c r="AR28" s="566"/>
      <c r="AS28" s="566"/>
      <c r="AT28" s="566"/>
      <c r="AU28" s="566"/>
      <c r="AV28" s="566"/>
      <c r="AW28" s="566"/>
      <c r="AX28" s="566"/>
      <c r="AY28" s="566"/>
      <c r="AZ28" s="566"/>
      <c r="BA28" s="566"/>
      <c r="BB28" s="566"/>
      <c r="BC28" s="566"/>
      <c r="BD28" s="566"/>
      <c r="BE28" s="566"/>
      <c r="BF28" s="566">
        <f>311091.5/Y28</f>
        <v>21454.59</v>
      </c>
      <c r="BG28" s="566"/>
      <c r="BH28" s="566"/>
      <c r="BI28" s="566"/>
      <c r="BJ28" s="566"/>
      <c r="BK28" s="566"/>
      <c r="BL28" s="566"/>
      <c r="BM28" s="566"/>
      <c r="BN28" s="566"/>
      <c r="BO28" s="566"/>
      <c r="BP28" s="566"/>
      <c r="BQ28" s="566"/>
      <c r="BR28" s="566"/>
      <c r="BS28" s="566"/>
      <c r="BT28" s="566"/>
      <c r="BU28" s="566"/>
      <c r="BV28" s="566"/>
      <c r="BW28" s="566"/>
      <c r="BX28" s="566"/>
      <c r="BY28" s="566"/>
      <c r="BZ28" s="566"/>
      <c r="CA28" s="566"/>
      <c r="CB28" s="566"/>
      <c r="CC28" s="566"/>
      <c r="CD28" s="566"/>
      <c r="CE28" s="566"/>
      <c r="CF28" s="566"/>
      <c r="CG28" s="566"/>
      <c r="CH28" s="566"/>
      <c r="CI28" s="566"/>
      <c r="CJ28" s="566"/>
      <c r="CK28" s="566"/>
      <c r="CL28" s="566"/>
      <c r="CM28" s="566"/>
      <c r="CN28" s="566"/>
      <c r="CO28" s="566"/>
      <c r="CP28" s="566"/>
      <c r="CQ28" s="568">
        <f>(93327.45+62218.3)/Y28</f>
        <v>10727.29</v>
      </c>
      <c r="CR28" s="568"/>
      <c r="CS28" s="568"/>
      <c r="CT28" s="568"/>
      <c r="CU28" s="568"/>
      <c r="CV28" s="568"/>
      <c r="CW28" s="568"/>
      <c r="CX28" s="568"/>
      <c r="CY28" s="568"/>
      <c r="CZ28" s="568"/>
      <c r="DA28" s="568"/>
      <c r="DB28" s="568"/>
      <c r="DC28" s="568"/>
      <c r="DD28" s="568"/>
      <c r="DE28" s="568"/>
      <c r="DF28" s="568"/>
      <c r="DG28" s="568"/>
      <c r="DH28" s="568"/>
      <c r="DI28" s="566"/>
      <c r="DJ28" s="566"/>
      <c r="DK28" s="566"/>
      <c r="DL28" s="566"/>
      <c r="DM28" s="566"/>
      <c r="DN28" s="566"/>
      <c r="DO28" s="566"/>
      <c r="DP28" s="566"/>
      <c r="DQ28" s="566"/>
      <c r="DR28" s="566"/>
      <c r="DS28" s="566"/>
      <c r="DT28" s="566"/>
      <c r="DU28" s="566"/>
      <c r="DV28" s="566"/>
      <c r="DW28" s="566"/>
      <c r="DX28" s="566"/>
      <c r="DY28" s="566"/>
      <c r="DZ28" s="566"/>
      <c r="EA28" s="566"/>
      <c r="EB28" s="566"/>
      <c r="EC28" s="566"/>
      <c r="ED28" s="566"/>
      <c r="EE28" s="566"/>
      <c r="EF28" s="566"/>
      <c r="EG28" s="566"/>
      <c r="EH28" s="566"/>
      <c r="EI28" s="566"/>
      <c r="EJ28" s="566"/>
      <c r="EK28" s="566"/>
      <c r="EL28" s="566"/>
      <c r="EM28" s="566"/>
      <c r="EN28" s="566"/>
      <c r="EO28" s="566">
        <f t="shared" si="1"/>
        <v>5599647.12</v>
      </c>
      <c r="EP28" s="566"/>
      <c r="EQ28" s="566"/>
      <c r="ER28" s="566"/>
      <c r="ES28" s="566"/>
      <c r="ET28" s="566"/>
      <c r="EU28" s="566"/>
      <c r="EV28" s="566"/>
      <c r="EW28" s="566"/>
      <c r="EX28" s="566"/>
      <c r="EY28" s="566"/>
      <c r="EZ28" s="566"/>
      <c r="FA28" s="566"/>
      <c r="FB28" s="566"/>
      <c r="FC28" s="566"/>
      <c r="FD28" s="566"/>
      <c r="FE28" s="575"/>
    </row>
    <row r="29" spans="1:161" s="84" customFormat="1" ht="15" customHeight="1" thickBot="1">
      <c r="A29" s="530"/>
      <c r="B29" s="531"/>
      <c r="C29" s="531"/>
      <c r="D29" s="531"/>
      <c r="E29" s="531"/>
      <c r="F29" s="532"/>
      <c r="G29" s="536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8"/>
      <c r="Y29" s="555">
        <v>103</v>
      </c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67">
        <f>BF29+BX30+CQ29</f>
        <v>4408.57</v>
      </c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  <c r="CQ29" s="576">
        <f>454083/Y29</f>
        <v>4408.57</v>
      </c>
      <c r="CR29" s="576"/>
      <c r="CS29" s="576"/>
      <c r="CT29" s="576"/>
      <c r="CU29" s="576"/>
      <c r="CV29" s="576"/>
      <c r="CW29" s="576"/>
      <c r="CX29" s="576"/>
      <c r="CY29" s="576"/>
      <c r="CZ29" s="576"/>
      <c r="DA29" s="576"/>
      <c r="DB29" s="576"/>
      <c r="DC29" s="576"/>
      <c r="DD29" s="576"/>
      <c r="DE29" s="576"/>
      <c r="DF29" s="576"/>
      <c r="DG29" s="576"/>
      <c r="DH29" s="576"/>
      <c r="DI29" s="567"/>
      <c r="DJ29" s="567"/>
      <c r="DK29" s="567"/>
      <c r="DL29" s="567"/>
      <c r="DM29" s="567"/>
      <c r="DN29" s="567"/>
      <c r="DO29" s="567"/>
      <c r="DP29" s="567"/>
      <c r="DQ29" s="567"/>
      <c r="DR29" s="567"/>
      <c r="DS29" s="567"/>
      <c r="DT29" s="567"/>
      <c r="DU29" s="567"/>
      <c r="DV29" s="567"/>
      <c r="DW29" s="567"/>
      <c r="DX29" s="567"/>
      <c r="DY29" s="567"/>
      <c r="DZ29" s="567"/>
      <c r="EA29" s="567"/>
      <c r="EB29" s="567"/>
      <c r="EC29" s="567"/>
      <c r="ED29" s="567"/>
      <c r="EE29" s="567"/>
      <c r="EF29" s="567"/>
      <c r="EG29" s="567"/>
      <c r="EH29" s="567"/>
      <c r="EI29" s="567"/>
      <c r="EJ29" s="567"/>
      <c r="EK29" s="567"/>
      <c r="EL29" s="567"/>
      <c r="EM29" s="567"/>
      <c r="EN29" s="567"/>
      <c r="EO29" s="567">
        <f t="shared" si="1"/>
        <v>5448992.52</v>
      </c>
      <c r="EP29" s="567"/>
      <c r="EQ29" s="567"/>
      <c r="ER29" s="567"/>
      <c r="ES29" s="567"/>
      <c r="ET29" s="567"/>
      <c r="EU29" s="567"/>
      <c r="EV29" s="567"/>
      <c r="EW29" s="567"/>
      <c r="EX29" s="567"/>
      <c r="EY29" s="567"/>
      <c r="EZ29" s="567"/>
      <c r="FA29" s="567"/>
      <c r="FB29" s="567"/>
      <c r="FC29" s="567"/>
      <c r="FD29" s="567"/>
      <c r="FE29" s="577"/>
    </row>
    <row r="30" spans="1:161" s="84" customFormat="1" ht="15" customHeight="1">
      <c r="A30" s="527" t="s">
        <v>321</v>
      </c>
      <c r="B30" s="528"/>
      <c r="C30" s="528"/>
      <c r="D30" s="528"/>
      <c r="E30" s="528"/>
      <c r="F30" s="529"/>
      <c r="G30" s="533" t="s">
        <v>338</v>
      </c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5"/>
      <c r="Y30" s="578">
        <v>5.5</v>
      </c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80"/>
      <c r="AO30" s="542">
        <f aca="true" t="shared" si="2" ref="AO30:AO43">BF30+BX30+CQ30</f>
        <v>30829.52</v>
      </c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3"/>
      <c r="BD30" s="543"/>
      <c r="BE30" s="544"/>
      <c r="BF30" s="542">
        <f>120257/Y30</f>
        <v>21864.91</v>
      </c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543"/>
      <c r="BT30" s="543"/>
      <c r="BU30" s="543"/>
      <c r="BV30" s="543"/>
      <c r="BW30" s="544"/>
      <c r="BX30" s="542"/>
      <c r="BY30" s="543"/>
      <c r="BZ30" s="543"/>
      <c r="CA30" s="543"/>
      <c r="CB30" s="543"/>
      <c r="CC30" s="543"/>
      <c r="CD30" s="543"/>
      <c r="CE30" s="543"/>
      <c r="CF30" s="543"/>
      <c r="CG30" s="543"/>
      <c r="CH30" s="543"/>
      <c r="CI30" s="543"/>
      <c r="CJ30" s="543"/>
      <c r="CK30" s="543"/>
      <c r="CL30" s="543"/>
      <c r="CM30" s="543"/>
      <c r="CN30" s="543"/>
      <c r="CO30" s="543"/>
      <c r="CP30" s="544"/>
      <c r="CQ30" s="551">
        <f>(36077.1+13228.27)/Y30</f>
        <v>8964.61</v>
      </c>
      <c r="CR30" s="552"/>
      <c r="CS30" s="552"/>
      <c r="CT30" s="552"/>
      <c r="CU30" s="552"/>
      <c r="CV30" s="552"/>
      <c r="CW30" s="552"/>
      <c r="CX30" s="552"/>
      <c r="CY30" s="552"/>
      <c r="CZ30" s="552"/>
      <c r="DA30" s="552"/>
      <c r="DB30" s="552"/>
      <c r="DC30" s="552"/>
      <c r="DD30" s="552"/>
      <c r="DE30" s="552"/>
      <c r="DF30" s="552"/>
      <c r="DG30" s="552"/>
      <c r="DH30" s="553"/>
      <c r="DI30" s="569"/>
      <c r="DJ30" s="570"/>
      <c r="DK30" s="570"/>
      <c r="DL30" s="570"/>
      <c r="DM30" s="570"/>
      <c r="DN30" s="570"/>
      <c r="DO30" s="570"/>
      <c r="DP30" s="570"/>
      <c r="DQ30" s="570"/>
      <c r="DR30" s="570"/>
      <c r="DS30" s="570"/>
      <c r="DT30" s="570"/>
      <c r="DU30" s="570"/>
      <c r="DV30" s="570"/>
      <c r="DW30" s="570"/>
      <c r="DX30" s="571"/>
      <c r="DY30" s="569"/>
      <c r="DZ30" s="570"/>
      <c r="EA30" s="570"/>
      <c r="EB30" s="570"/>
      <c r="EC30" s="570"/>
      <c r="ED30" s="570"/>
      <c r="EE30" s="570"/>
      <c r="EF30" s="570"/>
      <c r="EG30" s="570"/>
      <c r="EH30" s="570"/>
      <c r="EI30" s="570"/>
      <c r="EJ30" s="570"/>
      <c r="EK30" s="570"/>
      <c r="EL30" s="570"/>
      <c r="EM30" s="570"/>
      <c r="EN30" s="571"/>
      <c r="EO30" s="585">
        <f t="shared" si="1"/>
        <v>2034748.32</v>
      </c>
      <c r="EP30" s="586"/>
      <c r="EQ30" s="586"/>
      <c r="ER30" s="586"/>
      <c r="ES30" s="586"/>
      <c r="ET30" s="586"/>
      <c r="EU30" s="586"/>
      <c r="EV30" s="586"/>
      <c r="EW30" s="586"/>
      <c r="EX30" s="586"/>
      <c r="EY30" s="586"/>
      <c r="EZ30" s="586"/>
      <c r="FA30" s="586"/>
      <c r="FB30" s="586"/>
      <c r="FC30" s="586"/>
      <c r="FD30" s="586"/>
      <c r="FE30" s="587"/>
    </row>
    <row r="31" spans="1:161" s="84" customFormat="1" ht="15" customHeight="1" thickBot="1">
      <c r="A31" s="530"/>
      <c r="B31" s="531"/>
      <c r="C31" s="531"/>
      <c r="D31" s="531"/>
      <c r="E31" s="531"/>
      <c r="F31" s="532"/>
      <c r="G31" s="536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8"/>
      <c r="Y31" s="555">
        <v>9</v>
      </c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6">
        <f t="shared" si="2"/>
        <v>2862.38</v>
      </c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8"/>
      <c r="BF31" s="572"/>
      <c r="BG31" s="573"/>
      <c r="BH31" s="573"/>
      <c r="BI31" s="573"/>
      <c r="BJ31" s="573"/>
      <c r="BK31" s="573"/>
      <c r="BL31" s="573"/>
      <c r="BM31" s="573"/>
      <c r="BN31" s="573"/>
      <c r="BO31" s="573"/>
      <c r="BP31" s="573"/>
      <c r="BQ31" s="573"/>
      <c r="BR31" s="573"/>
      <c r="BS31" s="573"/>
      <c r="BT31" s="573"/>
      <c r="BU31" s="573"/>
      <c r="BV31" s="573"/>
      <c r="BW31" s="574"/>
      <c r="BX31" s="572"/>
      <c r="BY31" s="573"/>
      <c r="BZ31" s="573"/>
      <c r="CA31" s="573"/>
      <c r="CB31" s="573"/>
      <c r="CC31" s="573"/>
      <c r="CD31" s="573"/>
      <c r="CE31" s="573"/>
      <c r="CF31" s="573"/>
      <c r="CG31" s="573"/>
      <c r="CH31" s="573"/>
      <c r="CI31" s="573"/>
      <c r="CJ31" s="573"/>
      <c r="CK31" s="573"/>
      <c r="CL31" s="573"/>
      <c r="CM31" s="573"/>
      <c r="CN31" s="573"/>
      <c r="CO31" s="573"/>
      <c r="CP31" s="574"/>
      <c r="CQ31" s="588">
        <f>25761.45/Y31</f>
        <v>2862.38</v>
      </c>
      <c r="CR31" s="589"/>
      <c r="CS31" s="589"/>
      <c r="CT31" s="589"/>
      <c r="CU31" s="589"/>
      <c r="CV31" s="589"/>
      <c r="CW31" s="589"/>
      <c r="CX31" s="589"/>
      <c r="CY31" s="589"/>
      <c r="CZ31" s="589"/>
      <c r="DA31" s="589"/>
      <c r="DB31" s="589"/>
      <c r="DC31" s="589"/>
      <c r="DD31" s="589"/>
      <c r="DE31" s="589"/>
      <c r="DF31" s="589"/>
      <c r="DG31" s="589"/>
      <c r="DH31" s="590"/>
      <c r="DI31" s="572"/>
      <c r="DJ31" s="573"/>
      <c r="DK31" s="573"/>
      <c r="DL31" s="573"/>
      <c r="DM31" s="573"/>
      <c r="DN31" s="573"/>
      <c r="DO31" s="573"/>
      <c r="DP31" s="573"/>
      <c r="DQ31" s="573"/>
      <c r="DR31" s="573"/>
      <c r="DS31" s="573"/>
      <c r="DT31" s="573"/>
      <c r="DU31" s="573"/>
      <c r="DV31" s="573"/>
      <c r="DW31" s="573"/>
      <c r="DX31" s="574"/>
      <c r="DY31" s="572"/>
      <c r="DZ31" s="573"/>
      <c r="EA31" s="573"/>
      <c r="EB31" s="573"/>
      <c r="EC31" s="573"/>
      <c r="ED31" s="573"/>
      <c r="EE31" s="573"/>
      <c r="EF31" s="573"/>
      <c r="EG31" s="573"/>
      <c r="EH31" s="573"/>
      <c r="EI31" s="573"/>
      <c r="EJ31" s="573"/>
      <c r="EK31" s="573"/>
      <c r="EL31" s="573"/>
      <c r="EM31" s="573"/>
      <c r="EN31" s="574"/>
      <c r="EO31" s="556">
        <f t="shared" si="1"/>
        <v>309137.04</v>
      </c>
      <c r="EP31" s="557"/>
      <c r="EQ31" s="557"/>
      <c r="ER31" s="557"/>
      <c r="ES31" s="557"/>
      <c r="ET31" s="557"/>
      <c r="EU31" s="557"/>
      <c r="EV31" s="557"/>
      <c r="EW31" s="557"/>
      <c r="EX31" s="557"/>
      <c r="EY31" s="557"/>
      <c r="EZ31" s="557"/>
      <c r="FA31" s="557"/>
      <c r="FB31" s="557"/>
      <c r="FC31" s="557"/>
      <c r="FD31" s="557"/>
      <c r="FE31" s="591"/>
    </row>
    <row r="32" spans="1:161" s="84" customFormat="1" ht="15" customHeight="1">
      <c r="A32" s="527" t="s">
        <v>322</v>
      </c>
      <c r="B32" s="528"/>
      <c r="C32" s="528"/>
      <c r="D32" s="528"/>
      <c r="E32" s="528"/>
      <c r="F32" s="529"/>
      <c r="G32" s="533" t="s">
        <v>339</v>
      </c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5"/>
      <c r="Y32" s="578">
        <v>4</v>
      </c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80"/>
      <c r="AO32" s="542">
        <f t="shared" si="2"/>
        <v>14530.96</v>
      </c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  <c r="BA32" s="543"/>
      <c r="BB32" s="543"/>
      <c r="BC32" s="543"/>
      <c r="BD32" s="543"/>
      <c r="BE32" s="544"/>
      <c r="BF32" s="542">
        <f>39048/Y32</f>
        <v>9762</v>
      </c>
      <c r="BG32" s="543"/>
      <c r="BH32" s="543"/>
      <c r="BI32" s="543"/>
      <c r="BJ32" s="543"/>
      <c r="BK32" s="543"/>
      <c r="BL32" s="543"/>
      <c r="BM32" s="543"/>
      <c r="BN32" s="543"/>
      <c r="BO32" s="543"/>
      <c r="BP32" s="543"/>
      <c r="BQ32" s="543"/>
      <c r="BR32" s="543"/>
      <c r="BS32" s="543"/>
      <c r="BT32" s="543"/>
      <c r="BU32" s="543"/>
      <c r="BV32" s="543"/>
      <c r="BW32" s="544"/>
      <c r="BX32" s="542">
        <f>4237.6/Y32</f>
        <v>1059.4</v>
      </c>
      <c r="BY32" s="543"/>
      <c r="BZ32" s="543"/>
      <c r="CA32" s="543"/>
      <c r="CB32" s="543"/>
      <c r="CC32" s="543"/>
      <c r="CD32" s="543"/>
      <c r="CE32" s="543"/>
      <c r="CF32" s="543"/>
      <c r="CG32" s="543"/>
      <c r="CH32" s="543"/>
      <c r="CI32" s="543"/>
      <c r="CJ32" s="543"/>
      <c r="CK32" s="543"/>
      <c r="CL32" s="543"/>
      <c r="CM32" s="543"/>
      <c r="CN32" s="543"/>
      <c r="CO32" s="543"/>
      <c r="CP32" s="544"/>
      <c r="CQ32" s="551">
        <f>(11714.4+3123.84)/Y32</f>
        <v>3709.56</v>
      </c>
      <c r="CR32" s="552"/>
      <c r="CS32" s="552"/>
      <c r="CT32" s="552"/>
      <c r="CU32" s="552"/>
      <c r="CV32" s="552"/>
      <c r="CW32" s="552"/>
      <c r="CX32" s="552"/>
      <c r="CY32" s="552"/>
      <c r="CZ32" s="552"/>
      <c r="DA32" s="552"/>
      <c r="DB32" s="552"/>
      <c r="DC32" s="552"/>
      <c r="DD32" s="552"/>
      <c r="DE32" s="552"/>
      <c r="DF32" s="552"/>
      <c r="DG32" s="552"/>
      <c r="DH32" s="553"/>
      <c r="DI32" s="569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70"/>
      <c r="DX32" s="571"/>
      <c r="DY32" s="569"/>
      <c r="DZ32" s="570"/>
      <c r="EA32" s="570"/>
      <c r="EB32" s="570"/>
      <c r="EC32" s="570"/>
      <c r="ED32" s="570"/>
      <c r="EE32" s="570"/>
      <c r="EF32" s="570"/>
      <c r="EG32" s="570"/>
      <c r="EH32" s="570"/>
      <c r="EI32" s="570"/>
      <c r="EJ32" s="570"/>
      <c r="EK32" s="570"/>
      <c r="EL32" s="570"/>
      <c r="EM32" s="570"/>
      <c r="EN32" s="571"/>
      <c r="EO32" s="542">
        <f t="shared" si="1"/>
        <v>697486.08</v>
      </c>
      <c r="EP32" s="543"/>
      <c r="EQ32" s="543"/>
      <c r="ER32" s="543"/>
      <c r="ES32" s="543"/>
      <c r="ET32" s="543"/>
      <c r="EU32" s="543"/>
      <c r="EV32" s="543"/>
      <c r="EW32" s="543"/>
      <c r="EX32" s="543"/>
      <c r="EY32" s="543"/>
      <c r="EZ32" s="543"/>
      <c r="FA32" s="543"/>
      <c r="FB32" s="543"/>
      <c r="FC32" s="543"/>
      <c r="FD32" s="543"/>
      <c r="FE32" s="554"/>
    </row>
    <row r="33" spans="1:161" s="84" customFormat="1" ht="15" customHeight="1" thickBot="1">
      <c r="A33" s="530"/>
      <c r="B33" s="531"/>
      <c r="C33" s="531"/>
      <c r="D33" s="531"/>
      <c r="E33" s="531"/>
      <c r="F33" s="532"/>
      <c r="G33" s="536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8"/>
      <c r="Y33" s="555">
        <v>24</v>
      </c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5"/>
      <c r="AN33" s="555"/>
      <c r="AO33" s="556">
        <f t="shared" si="2"/>
        <v>742.36</v>
      </c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8"/>
      <c r="BF33" s="592"/>
      <c r="BG33" s="593"/>
      <c r="BH33" s="593"/>
      <c r="BI33" s="593"/>
      <c r="BJ33" s="593"/>
      <c r="BK33" s="593"/>
      <c r="BL33" s="593"/>
      <c r="BM33" s="593"/>
      <c r="BN33" s="593"/>
      <c r="BO33" s="593"/>
      <c r="BP33" s="593"/>
      <c r="BQ33" s="593"/>
      <c r="BR33" s="593"/>
      <c r="BS33" s="593"/>
      <c r="BT33" s="593"/>
      <c r="BU33" s="593"/>
      <c r="BV33" s="593"/>
      <c r="BW33" s="594"/>
      <c r="BX33" s="592"/>
      <c r="BY33" s="593"/>
      <c r="BZ33" s="593"/>
      <c r="CA33" s="593"/>
      <c r="CB33" s="593"/>
      <c r="CC33" s="593"/>
      <c r="CD33" s="593"/>
      <c r="CE33" s="593"/>
      <c r="CF33" s="593"/>
      <c r="CG33" s="593"/>
      <c r="CH33" s="593"/>
      <c r="CI33" s="593"/>
      <c r="CJ33" s="593"/>
      <c r="CK33" s="593"/>
      <c r="CL33" s="593"/>
      <c r="CM33" s="593"/>
      <c r="CN33" s="593"/>
      <c r="CO33" s="593"/>
      <c r="CP33" s="594"/>
      <c r="CQ33" s="588">
        <f>17816.72/Y33</f>
        <v>742.36</v>
      </c>
      <c r="CR33" s="589"/>
      <c r="CS33" s="589"/>
      <c r="CT33" s="589"/>
      <c r="CU33" s="589"/>
      <c r="CV33" s="589"/>
      <c r="CW33" s="589"/>
      <c r="CX33" s="589"/>
      <c r="CY33" s="589"/>
      <c r="CZ33" s="589"/>
      <c r="DA33" s="589"/>
      <c r="DB33" s="589"/>
      <c r="DC33" s="589"/>
      <c r="DD33" s="589"/>
      <c r="DE33" s="589"/>
      <c r="DF33" s="589"/>
      <c r="DG33" s="589"/>
      <c r="DH33" s="590"/>
      <c r="DI33" s="572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73"/>
      <c r="DX33" s="574"/>
      <c r="DY33" s="572"/>
      <c r="DZ33" s="573"/>
      <c r="EA33" s="573"/>
      <c r="EB33" s="573"/>
      <c r="EC33" s="573"/>
      <c r="ED33" s="573"/>
      <c r="EE33" s="573"/>
      <c r="EF33" s="573"/>
      <c r="EG33" s="573"/>
      <c r="EH33" s="573"/>
      <c r="EI33" s="573"/>
      <c r="EJ33" s="573"/>
      <c r="EK33" s="573"/>
      <c r="EL33" s="573"/>
      <c r="EM33" s="573"/>
      <c r="EN33" s="574"/>
      <c r="EO33" s="585">
        <f t="shared" si="1"/>
        <v>213799.68</v>
      </c>
      <c r="EP33" s="586"/>
      <c r="EQ33" s="586"/>
      <c r="ER33" s="586"/>
      <c r="ES33" s="586"/>
      <c r="ET33" s="586"/>
      <c r="EU33" s="586"/>
      <c r="EV33" s="586"/>
      <c r="EW33" s="586"/>
      <c r="EX33" s="586"/>
      <c r="EY33" s="586"/>
      <c r="EZ33" s="586"/>
      <c r="FA33" s="586"/>
      <c r="FB33" s="586"/>
      <c r="FC33" s="586"/>
      <c r="FD33" s="586"/>
      <c r="FE33" s="587"/>
    </row>
    <row r="34" spans="1:161" s="84" customFormat="1" ht="15" customHeight="1">
      <c r="A34" s="527" t="s">
        <v>323</v>
      </c>
      <c r="B34" s="528"/>
      <c r="C34" s="528"/>
      <c r="D34" s="528"/>
      <c r="E34" s="528"/>
      <c r="F34" s="529"/>
      <c r="G34" s="533" t="s">
        <v>340</v>
      </c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5"/>
      <c r="Y34" s="578">
        <v>80.1</v>
      </c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79"/>
      <c r="AL34" s="579"/>
      <c r="AM34" s="579"/>
      <c r="AN34" s="580"/>
      <c r="AO34" s="542">
        <f t="shared" si="2"/>
        <v>62843.29</v>
      </c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  <c r="BA34" s="543"/>
      <c r="BB34" s="543"/>
      <c r="BC34" s="543"/>
      <c r="BD34" s="543"/>
      <c r="BE34" s="544"/>
      <c r="BF34" s="542">
        <f>3322605.5/Y34</f>
        <v>41480.72</v>
      </c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543"/>
      <c r="BT34" s="543"/>
      <c r="BU34" s="543"/>
      <c r="BV34" s="543"/>
      <c r="BW34" s="544"/>
      <c r="BX34" s="542">
        <f>498390.84/Y34</f>
        <v>6222.11</v>
      </c>
      <c r="BY34" s="543"/>
      <c r="BZ34" s="543"/>
      <c r="CA34" s="543"/>
      <c r="CB34" s="543"/>
      <c r="CC34" s="543"/>
      <c r="CD34" s="543"/>
      <c r="CE34" s="543"/>
      <c r="CF34" s="543"/>
      <c r="CG34" s="543"/>
      <c r="CH34" s="543"/>
      <c r="CI34" s="543"/>
      <c r="CJ34" s="543"/>
      <c r="CK34" s="543"/>
      <c r="CL34" s="543"/>
      <c r="CM34" s="543"/>
      <c r="CN34" s="543"/>
      <c r="CO34" s="543"/>
      <c r="CP34" s="544"/>
      <c r="CQ34" s="551">
        <f>(1146298.93+66452.11)/Y34</f>
        <v>15140.46</v>
      </c>
      <c r="CR34" s="552"/>
      <c r="CS34" s="552"/>
      <c r="CT34" s="552"/>
      <c r="CU34" s="552"/>
      <c r="CV34" s="552"/>
      <c r="CW34" s="552"/>
      <c r="CX34" s="552"/>
      <c r="CY34" s="552"/>
      <c r="CZ34" s="552"/>
      <c r="DA34" s="552"/>
      <c r="DB34" s="552"/>
      <c r="DC34" s="552"/>
      <c r="DD34" s="552"/>
      <c r="DE34" s="552"/>
      <c r="DF34" s="552"/>
      <c r="DG34" s="552"/>
      <c r="DH34" s="553"/>
      <c r="DI34" s="569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70"/>
      <c r="DX34" s="571"/>
      <c r="DY34" s="569"/>
      <c r="DZ34" s="570"/>
      <c r="EA34" s="570"/>
      <c r="EB34" s="570"/>
      <c r="EC34" s="570"/>
      <c r="ED34" s="570"/>
      <c r="EE34" s="570"/>
      <c r="EF34" s="570"/>
      <c r="EG34" s="570"/>
      <c r="EH34" s="570"/>
      <c r="EI34" s="570"/>
      <c r="EJ34" s="570"/>
      <c r="EK34" s="570"/>
      <c r="EL34" s="570"/>
      <c r="EM34" s="570"/>
      <c r="EN34" s="571"/>
      <c r="EO34" s="542">
        <f t="shared" si="1"/>
        <v>60404970.35</v>
      </c>
      <c r="EP34" s="543"/>
      <c r="EQ34" s="543"/>
      <c r="ER34" s="543"/>
      <c r="ES34" s="543"/>
      <c r="ET34" s="543"/>
      <c r="EU34" s="543"/>
      <c r="EV34" s="543"/>
      <c r="EW34" s="543"/>
      <c r="EX34" s="543"/>
      <c r="EY34" s="543"/>
      <c r="EZ34" s="543"/>
      <c r="FA34" s="543"/>
      <c r="FB34" s="543"/>
      <c r="FC34" s="543"/>
      <c r="FD34" s="543"/>
      <c r="FE34" s="554"/>
    </row>
    <row r="35" spans="1:161" s="84" customFormat="1" ht="15" customHeight="1" thickBot="1">
      <c r="A35" s="530"/>
      <c r="B35" s="531"/>
      <c r="C35" s="531"/>
      <c r="D35" s="531"/>
      <c r="E35" s="531"/>
      <c r="F35" s="532"/>
      <c r="G35" s="536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8"/>
      <c r="Y35" s="555">
        <f>1+97.5</f>
        <v>98.5</v>
      </c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6">
        <f t="shared" si="2"/>
        <v>985.74</v>
      </c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8"/>
      <c r="BF35" s="572"/>
      <c r="BG35" s="573"/>
      <c r="BH35" s="573"/>
      <c r="BI35" s="573"/>
      <c r="BJ35" s="573"/>
      <c r="BK35" s="573"/>
      <c r="BL35" s="573"/>
      <c r="BM35" s="573"/>
      <c r="BN35" s="573"/>
      <c r="BO35" s="573"/>
      <c r="BP35" s="573"/>
      <c r="BQ35" s="573"/>
      <c r="BR35" s="573"/>
      <c r="BS35" s="573"/>
      <c r="BT35" s="573"/>
      <c r="BU35" s="573"/>
      <c r="BV35" s="573"/>
      <c r="BW35" s="574"/>
      <c r="BX35" s="572"/>
      <c r="BY35" s="573"/>
      <c r="BZ35" s="573"/>
      <c r="CA35" s="573"/>
      <c r="CB35" s="573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3"/>
      <c r="CO35" s="573"/>
      <c r="CP35" s="574"/>
      <c r="CQ35" s="588">
        <f>(96292.96+802.3)/Y35</f>
        <v>985.74</v>
      </c>
      <c r="CR35" s="589"/>
      <c r="CS35" s="589"/>
      <c r="CT35" s="589"/>
      <c r="CU35" s="589"/>
      <c r="CV35" s="589"/>
      <c r="CW35" s="589"/>
      <c r="CX35" s="589"/>
      <c r="CY35" s="589"/>
      <c r="CZ35" s="589"/>
      <c r="DA35" s="589"/>
      <c r="DB35" s="589"/>
      <c r="DC35" s="589"/>
      <c r="DD35" s="589"/>
      <c r="DE35" s="589"/>
      <c r="DF35" s="589"/>
      <c r="DG35" s="589"/>
      <c r="DH35" s="590"/>
      <c r="DI35" s="572"/>
      <c r="DJ35" s="573"/>
      <c r="DK35" s="573"/>
      <c r="DL35" s="573"/>
      <c r="DM35" s="573"/>
      <c r="DN35" s="573"/>
      <c r="DO35" s="573"/>
      <c r="DP35" s="573"/>
      <c r="DQ35" s="573"/>
      <c r="DR35" s="573"/>
      <c r="DS35" s="573"/>
      <c r="DT35" s="573"/>
      <c r="DU35" s="573"/>
      <c r="DV35" s="573"/>
      <c r="DW35" s="573"/>
      <c r="DX35" s="574"/>
      <c r="DY35" s="572"/>
      <c r="DZ35" s="573"/>
      <c r="EA35" s="573"/>
      <c r="EB35" s="573"/>
      <c r="EC35" s="573"/>
      <c r="ED35" s="573"/>
      <c r="EE35" s="573"/>
      <c r="EF35" s="573"/>
      <c r="EG35" s="573"/>
      <c r="EH35" s="573"/>
      <c r="EI35" s="573"/>
      <c r="EJ35" s="573"/>
      <c r="EK35" s="573"/>
      <c r="EL35" s="573"/>
      <c r="EM35" s="573"/>
      <c r="EN35" s="574"/>
      <c r="EO35" s="585">
        <f t="shared" si="1"/>
        <v>1165144.68</v>
      </c>
      <c r="EP35" s="586"/>
      <c r="EQ35" s="586"/>
      <c r="ER35" s="586"/>
      <c r="ES35" s="586"/>
      <c r="ET35" s="586"/>
      <c r="EU35" s="586"/>
      <c r="EV35" s="586"/>
      <c r="EW35" s="586"/>
      <c r="EX35" s="586"/>
      <c r="EY35" s="586"/>
      <c r="EZ35" s="586"/>
      <c r="FA35" s="586"/>
      <c r="FB35" s="586"/>
      <c r="FC35" s="586"/>
      <c r="FD35" s="586"/>
      <c r="FE35" s="587"/>
    </row>
    <row r="36" spans="1:161" s="84" customFormat="1" ht="15" customHeight="1">
      <c r="A36" s="527" t="s">
        <v>324</v>
      </c>
      <c r="B36" s="528"/>
      <c r="C36" s="528"/>
      <c r="D36" s="528"/>
      <c r="E36" s="528"/>
      <c r="F36" s="529"/>
      <c r="G36" s="533" t="s">
        <v>341</v>
      </c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5"/>
      <c r="Y36" s="565">
        <v>115.55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42">
        <f t="shared" si="2"/>
        <v>27834.4</v>
      </c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  <c r="AZ36" s="543"/>
      <c r="BA36" s="543"/>
      <c r="BB36" s="543"/>
      <c r="BC36" s="543"/>
      <c r="BD36" s="543"/>
      <c r="BE36" s="544"/>
      <c r="BF36" s="542">
        <f>1923000.91/Y36</f>
        <v>16642.15</v>
      </c>
      <c r="BG36" s="543"/>
      <c r="BH36" s="543"/>
      <c r="BI36" s="543"/>
      <c r="BJ36" s="543"/>
      <c r="BK36" s="543"/>
      <c r="BL36" s="543"/>
      <c r="BM36" s="543"/>
      <c r="BN36" s="543"/>
      <c r="BO36" s="543"/>
      <c r="BP36" s="543"/>
      <c r="BQ36" s="543"/>
      <c r="BR36" s="543"/>
      <c r="BS36" s="543"/>
      <c r="BT36" s="543"/>
      <c r="BU36" s="543"/>
      <c r="BV36" s="543"/>
      <c r="BW36" s="544"/>
      <c r="BX36" s="542">
        <f>(288450.14+233014.29)/Y36</f>
        <v>4512.89</v>
      </c>
      <c r="BY36" s="543"/>
      <c r="BZ36" s="543"/>
      <c r="CA36" s="543"/>
      <c r="CB36" s="543"/>
      <c r="CC36" s="543"/>
      <c r="CD36" s="543"/>
      <c r="CE36" s="543"/>
      <c r="CF36" s="543"/>
      <c r="CG36" s="543"/>
      <c r="CH36" s="543"/>
      <c r="CI36" s="543"/>
      <c r="CJ36" s="543"/>
      <c r="CK36" s="543"/>
      <c r="CL36" s="543"/>
      <c r="CM36" s="543"/>
      <c r="CN36" s="543"/>
      <c r="CO36" s="543"/>
      <c r="CP36" s="544"/>
      <c r="CQ36" s="551">
        <f>(733339.6+38460.02)/Y36</f>
        <v>6679.36</v>
      </c>
      <c r="CR36" s="552"/>
      <c r="CS36" s="552"/>
      <c r="CT36" s="552"/>
      <c r="CU36" s="552"/>
      <c r="CV36" s="552"/>
      <c r="CW36" s="552"/>
      <c r="CX36" s="552"/>
      <c r="CY36" s="552"/>
      <c r="CZ36" s="552"/>
      <c r="DA36" s="552"/>
      <c r="DB36" s="552"/>
      <c r="DC36" s="552"/>
      <c r="DD36" s="552"/>
      <c r="DE36" s="552"/>
      <c r="DF36" s="552"/>
      <c r="DG36" s="552"/>
      <c r="DH36" s="553"/>
      <c r="DI36" s="569"/>
      <c r="DJ36" s="570"/>
      <c r="DK36" s="570"/>
      <c r="DL36" s="570"/>
      <c r="DM36" s="570"/>
      <c r="DN36" s="570"/>
      <c r="DO36" s="570"/>
      <c r="DP36" s="570"/>
      <c r="DQ36" s="570"/>
      <c r="DR36" s="570"/>
      <c r="DS36" s="570"/>
      <c r="DT36" s="570"/>
      <c r="DU36" s="570"/>
      <c r="DV36" s="570"/>
      <c r="DW36" s="570"/>
      <c r="DX36" s="571"/>
      <c r="DY36" s="569"/>
      <c r="DZ36" s="570"/>
      <c r="EA36" s="570"/>
      <c r="EB36" s="570"/>
      <c r="EC36" s="570"/>
      <c r="ED36" s="570"/>
      <c r="EE36" s="570"/>
      <c r="EF36" s="570"/>
      <c r="EG36" s="570"/>
      <c r="EH36" s="570"/>
      <c r="EI36" s="570"/>
      <c r="EJ36" s="570"/>
      <c r="EK36" s="570"/>
      <c r="EL36" s="570"/>
      <c r="EM36" s="570"/>
      <c r="EN36" s="571"/>
      <c r="EO36" s="542">
        <f t="shared" si="1"/>
        <v>38595179.04</v>
      </c>
      <c r="EP36" s="543"/>
      <c r="EQ36" s="543"/>
      <c r="ER36" s="543"/>
      <c r="ES36" s="543"/>
      <c r="ET36" s="543"/>
      <c r="EU36" s="543"/>
      <c r="EV36" s="543"/>
      <c r="EW36" s="543"/>
      <c r="EX36" s="543"/>
      <c r="EY36" s="543"/>
      <c r="EZ36" s="543"/>
      <c r="FA36" s="543"/>
      <c r="FB36" s="543"/>
      <c r="FC36" s="543"/>
      <c r="FD36" s="543"/>
      <c r="FE36" s="554"/>
    </row>
    <row r="37" spans="1:161" s="84" customFormat="1" ht="15" customHeight="1" thickBot="1">
      <c r="A37" s="530"/>
      <c r="B37" s="531"/>
      <c r="C37" s="531"/>
      <c r="D37" s="531"/>
      <c r="E37" s="531"/>
      <c r="F37" s="532"/>
      <c r="G37" s="536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8"/>
      <c r="Y37" s="595">
        <v>113</v>
      </c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7"/>
      <c r="AO37" s="572">
        <f t="shared" si="2"/>
        <v>470.72</v>
      </c>
      <c r="AP37" s="573"/>
      <c r="AQ37" s="573"/>
      <c r="AR37" s="573"/>
      <c r="AS37" s="573"/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4"/>
      <c r="BF37" s="572"/>
      <c r="BG37" s="573"/>
      <c r="BH37" s="573"/>
      <c r="BI37" s="573"/>
      <c r="BJ37" s="573"/>
      <c r="BK37" s="573"/>
      <c r="BL37" s="573"/>
      <c r="BM37" s="573"/>
      <c r="BN37" s="573"/>
      <c r="BO37" s="573"/>
      <c r="BP37" s="573"/>
      <c r="BQ37" s="573"/>
      <c r="BR37" s="573"/>
      <c r="BS37" s="573"/>
      <c r="BT37" s="573"/>
      <c r="BU37" s="573"/>
      <c r="BV37" s="573"/>
      <c r="BW37" s="574"/>
      <c r="BX37" s="572"/>
      <c r="BY37" s="573"/>
      <c r="BZ37" s="573"/>
      <c r="CA37" s="573"/>
      <c r="CB37" s="573"/>
      <c r="CC37" s="573"/>
      <c r="CD37" s="573"/>
      <c r="CE37" s="573"/>
      <c r="CF37" s="573"/>
      <c r="CG37" s="573"/>
      <c r="CH37" s="573"/>
      <c r="CI37" s="573"/>
      <c r="CJ37" s="573"/>
      <c r="CK37" s="573"/>
      <c r="CL37" s="573"/>
      <c r="CM37" s="573"/>
      <c r="CN37" s="573"/>
      <c r="CO37" s="573"/>
      <c r="CP37" s="574"/>
      <c r="CQ37" s="588">
        <f>53191.54/Y37</f>
        <v>470.72</v>
      </c>
      <c r="CR37" s="589"/>
      <c r="CS37" s="589"/>
      <c r="CT37" s="589"/>
      <c r="CU37" s="589"/>
      <c r="CV37" s="589"/>
      <c r="CW37" s="589"/>
      <c r="CX37" s="589"/>
      <c r="CY37" s="589"/>
      <c r="CZ37" s="589"/>
      <c r="DA37" s="589"/>
      <c r="DB37" s="589"/>
      <c r="DC37" s="589"/>
      <c r="DD37" s="589"/>
      <c r="DE37" s="589"/>
      <c r="DF37" s="589"/>
      <c r="DG37" s="589"/>
      <c r="DH37" s="590"/>
      <c r="DI37" s="572"/>
      <c r="DJ37" s="573"/>
      <c r="DK37" s="573"/>
      <c r="DL37" s="573"/>
      <c r="DM37" s="573"/>
      <c r="DN37" s="573"/>
      <c r="DO37" s="573"/>
      <c r="DP37" s="573"/>
      <c r="DQ37" s="573"/>
      <c r="DR37" s="573"/>
      <c r="DS37" s="573"/>
      <c r="DT37" s="573"/>
      <c r="DU37" s="573"/>
      <c r="DV37" s="573"/>
      <c r="DW37" s="573"/>
      <c r="DX37" s="574"/>
      <c r="DY37" s="572"/>
      <c r="DZ37" s="573"/>
      <c r="EA37" s="573"/>
      <c r="EB37" s="573"/>
      <c r="EC37" s="573"/>
      <c r="ED37" s="573"/>
      <c r="EE37" s="573"/>
      <c r="EF37" s="573"/>
      <c r="EG37" s="573"/>
      <c r="EH37" s="573"/>
      <c r="EI37" s="573"/>
      <c r="EJ37" s="573"/>
      <c r="EK37" s="573"/>
      <c r="EL37" s="573"/>
      <c r="EM37" s="573"/>
      <c r="EN37" s="574"/>
      <c r="EO37" s="585">
        <f t="shared" si="1"/>
        <v>638296.32</v>
      </c>
      <c r="EP37" s="586"/>
      <c r="EQ37" s="586"/>
      <c r="ER37" s="586"/>
      <c r="ES37" s="586"/>
      <c r="ET37" s="586"/>
      <c r="EU37" s="586"/>
      <c r="EV37" s="586"/>
      <c r="EW37" s="586"/>
      <c r="EX37" s="586"/>
      <c r="EY37" s="586"/>
      <c r="EZ37" s="586"/>
      <c r="FA37" s="586"/>
      <c r="FB37" s="586"/>
      <c r="FC37" s="586"/>
      <c r="FD37" s="586"/>
      <c r="FE37" s="587"/>
    </row>
    <row r="38" spans="1:161" s="84" customFormat="1" ht="15" customHeight="1">
      <c r="A38" s="527" t="s">
        <v>325</v>
      </c>
      <c r="B38" s="528"/>
      <c r="C38" s="528"/>
      <c r="D38" s="528"/>
      <c r="E38" s="528"/>
      <c r="F38" s="529"/>
      <c r="G38" s="533" t="s">
        <v>342</v>
      </c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5"/>
      <c r="Y38" s="565">
        <v>0</v>
      </c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42">
        <f t="shared" si="2"/>
        <v>0</v>
      </c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  <c r="AZ38" s="543"/>
      <c r="BA38" s="543"/>
      <c r="BB38" s="543"/>
      <c r="BC38" s="543"/>
      <c r="BD38" s="543"/>
      <c r="BE38" s="544"/>
      <c r="BF38" s="569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1"/>
      <c r="BX38" s="569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1"/>
      <c r="CQ38" s="551"/>
      <c r="CR38" s="552"/>
      <c r="CS38" s="552"/>
      <c r="CT38" s="552"/>
      <c r="CU38" s="552"/>
      <c r="CV38" s="552"/>
      <c r="CW38" s="552"/>
      <c r="CX38" s="552"/>
      <c r="CY38" s="552"/>
      <c r="CZ38" s="552"/>
      <c r="DA38" s="552"/>
      <c r="DB38" s="552"/>
      <c r="DC38" s="552"/>
      <c r="DD38" s="552"/>
      <c r="DE38" s="552"/>
      <c r="DF38" s="552"/>
      <c r="DG38" s="552"/>
      <c r="DH38" s="553"/>
      <c r="DI38" s="569"/>
      <c r="DJ38" s="570"/>
      <c r="DK38" s="570"/>
      <c r="DL38" s="570"/>
      <c r="DM38" s="570"/>
      <c r="DN38" s="570"/>
      <c r="DO38" s="570"/>
      <c r="DP38" s="570"/>
      <c r="DQ38" s="570"/>
      <c r="DR38" s="570"/>
      <c r="DS38" s="570"/>
      <c r="DT38" s="570"/>
      <c r="DU38" s="570"/>
      <c r="DV38" s="570"/>
      <c r="DW38" s="570"/>
      <c r="DX38" s="571"/>
      <c r="DY38" s="569"/>
      <c r="DZ38" s="570"/>
      <c r="EA38" s="570"/>
      <c r="EB38" s="570"/>
      <c r="EC38" s="570"/>
      <c r="ED38" s="570"/>
      <c r="EE38" s="570"/>
      <c r="EF38" s="570"/>
      <c r="EG38" s="570"/>
      <c r="EH38" s="570"/>
      <c r="EI38" s="570"/>
      <c r="EJ38" s="570"/>
      <c r="EK38" s="570"/>
      <c r="EL38" s="570"/>
      <c r="EM38" s="570"/>
      <c r="EN38" s="571"/>
      <c r="EO38" s="542"/>
      <c r="EP38" s="543"/>
      <c r="EQ38" s="543"/>
      <c r="ER38" s="543"/>
      <c r="ES38" s="543"/>
      <c r="ET38" s="543"/>
      <c r="EU38" s="543"/>
      <c r="EV38" s="543"/>
      <c r="EW38" s="543"/>
      <c r="EX38" s="543"/>
      <c r="EY38" s="543"/>
      <c r="EZ38" s="543"/>
      <c r="FA38" s="543"/>
      <c r="FB38" s="543"/>
      <c r="FC38" s="543"/>
      <c r="FD38" s="543"/>
      <c r="FE38" s="554"/>
    </row>
    <row r="39" spans="1:161" s="84" customFormat="1" ht="15" customHeight="1" thickBot="1">
      <c r="A39" s="530"/>
      <c r="B39" s="531"/>
      <c r="C39" s="531"/>
      <c r="D39" s="531"/>
      <c r="E39" s="531"/>
      <c r="F39" s="532"/>
      <c r="G39" s="536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8"/>
      <c r="Y39" s="595">
        <v>2</v>
      </c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7"/>
      <c r="AO39" s="556">
        <f t="shared" si="2"/>
        <v>473.25</v>
      </c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8"/>
      <c r="BF39" s="572"/>
      <c r="BG39" s="573"/>
      <c r="BH39" s="573"/>
      <c r="BI39" s="573"/>
      <c r="BJ39" s="573"/>
      <c r="BK39" s="573"/>
      <c r="BL39" s="573"/>
      <c r="BM39" s="573"/>
      <c r="BN39" s="573"/>
      <c r="BO39" s="573"/>
      <c r="BP39" s="573"/>
      <c r="BQ39" s="573"/>
      <c r="BR39" s="573"/>
      <c r="BS39" s="573"/>
      <c r="BT39" s="573"/>
      <c r="BU39" s="573"/>
      <c r="BV39" s="573"/>
      <c r="BW39" s="574"/>
      <c r="BX39" s="572"/>
      <c r="BY39" s="573"/>
      <c r="BZ39" s="573"/>
      <c r="CA39" s="573"/>
      <c r="CB39" s="573"/>
      <c r="CC39" s="573"/>
      <c r="CD39" s="573"/>
      <c r="CE39" s="573"/>
      <c r="CF39" s="573"/>
      <c r="CG39" s="573"/>
      <c r="CH39" s="573"/>
      <c r="CI39" s="573"/>
      <c r="CJ39" s="573"/>
      <c r="CK39" s="573"/>
      <c r="CL39" s="573"/>
      <c r="CM39" s="573"/>
      <c r="CN39" s="573"/>
      <c r="CO39" s="573"/>
      <c r="CP39" s="574"/>
      <c r="CQ39" s="559">
        <f>946.5/Y39</f>
        <v>473.25</v>
      </c>
      <c r="CR39" s="560"/>
      <c r="CS39" s="560"/>
      <c r="CT39" s="560"/>
      <c r="CU39" s="560"/>
      <c r="CV39" s="560"/>
      <c r="CW39" s="560"/>
      <c r="CX39" s="560"/>
      <c r="CY39" s="560"/>
      <c r="CZ39" s="560"/>
      <c r="DA39" s="560"/>
      <c r="DB39" s="560"/>
      <c r="DC39" s="560"/>
      <c r="DD39" s="560"/>
      <c r="DE39" s="560"/>
      <c r="DF39" s="560"/>
      <c r="DG39" s="560"/>
      <c r="DH39" s="561"/>
      <c r="DI39" s="572"/>
      <c r="DJ39" s="573"/>
      <c r="DK39" s="573"/>
      <c r="DL39" s="573"/>
      <c r="DM39" s="573"/>
      <c r="DN39" s="573"/>
      <c r="DO39" s="573"/>
      <c r="DP39" s="573"/>
      <c r="DQ39" s="573"/>
      <c r="DR39" s="573"/>
      <c r="DS39" s="573"/>
      <c r="DT39" s="573"/>
      <c r="DU39" s="573"/>
      <c r="DV39" s="573"/>
      <c r="DW39" s="573"/>
      <c r="DX39" s="574"/>
      <c r="DY39" s="572"/>
      <c r="DZ39" s="573"/>
      <c r="EA39" s="573"/>
      <c r="EB39" s="573"/>
      <c r="EC39" s="573"/>
      <c r="ED39" s="573"/>
      <c r="EE39" s="573"/>
      <c r="EF39" s="573"/>
      <c r="EG39" s="573"/>
      <c r="EH39" s="573"/>
      <c r="EI39" s="573"/>
      <c r="EJ39" s="573"/>
      <c r="EK39" s="573"/>
      <c r="EL39" s="573"/>
      <c r="EM39" s="573"/>
      <c r="EN39" s="574"/>
      <c r="EO39" s="556">
        <f aca="true" t="shared" si="3" ref="EO39:EO45">(Y39)*AO39*12</f>
        <v>11358</v>
      </c>
      <c r="EP39" s="557"/>
      <c r="EQ39" s="557"/>
      <c r="ER39" s="557"/>
      <c r="ES39" s="557"/>
      <c r="ET39" s="557"/>
      <c r="EU39" s="557"/>
      <c r="EV39" s="557"/>
      <c r="EW39" s="557"/>
      <c r="EX39" s="557"/>
      <c r="EY39" s="557"/>
      <c r="EZ39" s="557"/>
      <c r="FA39" s="557"/>
      <c r="FB39" s="557"/>
      <c r="FC39" s="557"/>
      <c r="FD39" s="557"/>
      <c r="FE39" s="591"/>
    </row>
    <row r="40" spans="1:161" s="84" customFormat="1" ht="15" customHeight="1">
      <c r="A40" s="527" t="s">
        <v>326</v>
      </c>
      <c r="B40" s="528"/>
      <c r="C40" s="528"/>
      <c r="D40" s="528"/>
      <c r="E40" s="528"/>
      <c r="F40" s="529"/>
      <c r="G40" s="533" t="s">
        <v>343</v>
      </c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5"/>
      <c r="Y40" s="565">
        <v>3</v>
      </c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42">
        <f t="shared" si="2"/>
        <v>37011.45</v>
      </c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  <c r="AZ40" s="543"/>
      <c r="BA40" s="543"/>
      <c r="BB40" s="543"/>
      <c r="BC40" s="543"/>
      <c r="BD40" s="543"/>
      <c r="BE40" s="544"/>
      <c r="BF40" s="542">
        <f>73290/Y40</f>
        <v>24430</v>
      </c>
      <c r="BG40" s="543"/>
      <c r="BH40" s="543"/>
      <c r="BI40" s="543"/>
      <c r="BJ40" s="543"/>
      <c r="BK40" s="543"/>
      <c r="BL40" s="543"/>
      <c r="BM40" s="543"/>
      <c r="BN40" s="543"/>
      <c r="BO40" s="543"/>
      <c r="BP40" s="543"/>
      <c r="BQ40" s="543"/>
      <c r="BR40" s="543"/>
      <c r="BS40" s="543"/>
      <c r="BT40" s="543"/>
      <c r="BU40" s="543"/>
      <c r="BV40" s="543"/>
      <c r="BW40" s="544"/>
      <c r="BX40" s="542">
        <f>10993.5/Y40</f>
        <v>3664.5</v>
      </c>
      <c r="BY40" s="543"/>
      <c r="BZ40" s="543"/>
      <c r="CA40" s="543"/>
      <c r="CB40" s="543"/>
      <c r="CC40" s="543"/>
      <c r="CD40" s="543"/>
      <c r="CE40" s="543"/>
      <c r="CF40" s="543"/>
      <c r="CG40" s="543"/>
      <c r="CH40" s="543"/>
      <c r="CI40" s="543"/>
      <c r="CJ40" s="543"/>
      <c r="CK40" s="543"/>
      <c r="CL40" s="543"/>
      <c r="CM40" s="543"/>
      <c r="CN40" s="543"/>
      <c r="CO40" s="543"/>
      <c r="CP40" s="544"/>
      <c r="CQ40" s="551">
        <f>(25285.05+1465.8)/Y40</f>
        <v>8916.95</v>
      </c>
      <c r="CR40" s="552"/>
      <c r="CS40" s="552"/>
      <c r="CT40" s="552"/>
      <c r="CU40" s="552"/>
      <c r="CV40" s="552"/>
      <c r="CW40" s="552"/>
      <c r="CX40" s="552"/>
      <c r="CY40" s="552"/>
      <c r="CZ40" s="552"/>
      <c r="DA40" s="552"/>
      <c r="DB40" s="552"/>
      <c r="DC40" s="552"/>
      <c r="DD40" s="552"/>
      <c r="DE40" s="552"/>
      <c r="DF40" s="552"/>
      <c r="DG40" s="552"/>
      <c r="DH40" s="553"/>
      <c r="DI40" s="569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1"/>
      <c r="DY40" s="569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1"/>
      <c r="EO40" s="542">
        <f t="shared" si="3"/>
        <v>1332412.2</v>
      </c>
      <c r="EP40" s="543"/>
      <c r="EQ40" s="543"/>
      <c r="ER40" s="543"/>
      <c r="ES40" s="543"/>
      <c r="ET40" s="543"/>
      <c r="EU40" s="543"/>
      <c r="EV40" s="543"/>
      <c r="EW40" s="543"/>
      <c r="EX40" s="543"/>
      <c r="EY40" s="543"/>
      <c r="EZ40" s="543"/>
      <c r="FA40" s="543"/>
      <c r="FB40" s="543"/>
      <c r="FC40" s="543"/>
      <c r="FD40" s="543"/>
      <c r="FE40" s="554"/>
    </row>
    <row r="41" spans="1:161" s="84" customFormat="1" ht="15" customHeight="1" thickBot="1">
      <c r="A41" s="530"/>
      <c r="B41" s="531"/>
      <c r="C41" s="531"/>
      <c r="D41" s="531"/>
      <c r="E41" s="531"/>
      <c r="F41" s="532"/>
      <c r="G41" s="536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8"/>
      <c r="Y41" s="595">
        <v>15</v>
      </c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6"/>
      <c r="AN41" s="597"/>
      <c r="AO41" s="556">
        <f t="shared" si="2"/>
        <v>469.43</v>
      </c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  <c r="BA41" s="557"/>
      <c r="BB41" s="557"/>
      <c r="BC41" s="557"/>
      <c r="BD41" s="557"/>
      <c r="BE41" s="558"/>
      <c r="BF41" s="572"/>
      <c r="BG41" s="573"/>
      <c r="BH41" s="573"/>
      <c r="BI41" s="573"/>
      <c r="BJ41" s="573"/>
      <c r="BK41" s="573"/>
      <c r="BL41" s="573"/>
      <c r="BM41" s="573"/>
      <c r="BN41" s="573"/>
      <c r="BO41" s="573"/>
      <c r="BP41" s="573"/>
      <c r="BQ41" s="573"/>
      <c r="BR41" s="573"/>
      <c r="BS41" s="573"/>
      <c r="BT41" s="573"/>
      <c r="BU41" s="573"/>
      <c r="BV41" s="573"/>
      <c r="BW41" s="574"/>
      <c r="BX41" s="572"/>
      <c r="BY41" s="573"/>
      <c r="BZ41" s="573"/>
      <c r="CA41" s="573"/>
      <c r="CB41" s="573"/>
      <c r="CC41" s="573"/>
      <c r="CD41" s="573"/>
      <c r="CE41" s="573"/>
      <c r="CF41" s="573"/>
      <c r="CG41" s="573"/>
      <c r="CH41" s="573"/>
      <c r="CI41" s="573"/>
      <c r="CJ41" s="573"/>
      <c r="CK41" s="573"/>
      <c r="CL41" s="573"/>
      <c r="CM41" s="573"/>
      <c r="CN41" s="573"/>
      <c r="CO41" s="573"/>
      <c r="CP41" s="574"/>
      <c r="CQ41" s="588">
        <f>7041.5/Y41</f>
        <v>469.43</v>
      </c>
      <c r="CR41" s="589"/>
      <c r="CS41" s="589"/>
      <c r="CT41" s="589"/>
      <c r="CU41" s="589"/>
      <c r="CV41" s="589"/>
      <c r="CW41" s="589"/>
      <c r="CX41" s="589"/>
      <c r="CY41" s="589"/>
      <c r="CZ41" s="589"/>
      <c r="DA41" s="589"/>
      <c r="DB41" s="589"/>
      <c r="DC41" s="589"/>
      <c r="DD41" s="589"/>
      <c r="DE41" s="589"/>
      <c r="DF41" s="589"/>
      <c r="DG41" s="589"/>
      <c r="DH41" s="590"/>
      <c r="DI41" s="572"/>
      <c r="DJ41" s="573"/>
      <c r="DK41" s="573"/>
      <c r="DL41" s="573"/>
      <c r="DM41" s="573"/>
      <c r="DN41" s="573"/>
      <c r="DO41" s="573"/>
      <c r="DP41" s="573"/>
      <c r="DQ41" s="573"/>
      <c r="DR41" s="573"/>
      <c r="DS41" s="573"/>
      <c r="DT41" s="573"/>
      <c r="DU41" s="573"/>
      <c r="DV41" s="573"/>
      <c r="DW41" s="573"/>
      <c r="DX41" s="574"/>
      <c r="DY41" s="572"/>
      <c r="DZ41" s="573"/>
      <c r="EA41" s="573"/>
      <c r="EB41" s="573"/>
      <c r="EC41" s="573"/>
      <c r="ED41" s="573"/>
      <c r="EE41" s="573"/>
      <c r="EF41" s="573"/>
      <c r="EG41" s="573"/>
      <c r="EH41" s="573"/>
      <c r="EI41" s="573"/>
      <c r="EJ41" s="573"/>
      <c r="EK41" s="573"/>
      <c r="EL41" s="573"/>
      <c r="EM41" s="573"/>
      <c r="EN41" s="574"/>
      <c r="EO41" s="556">
        <f t="shared" si="3"/>
        <v>84497.4</v>
      </c>
      <c r="EP41" s="557"/>
      <c r="EQ41" s="557"/>
      <c r="ER41" s="557"/>
      <c r="ES41" s="557"/>
      <c r="ET41" s="557"/>
      <c r="EU41" s="557"/>
      <c r="EV41" s="557"/>
      <c r="EW41" s="557"/>
      <c r="EX41" s="557"/>
      <c r="EY41" s="557"/>
      <c r="EZ41" s="557"/>
      <c r="FA41" s="557"/>
      <c r="FB41" s="557"/>
      <c r="FC41" s="557"/>
      <c r="FD41" s="557"/>
      <c r="FE41" s="591"/>
    </row>
    <row r="42" spans="1:161" s="84" customFormat="1" ht="15" customHeight="1">
      <c r="A42" s="527" t="s">
        <v>327</v>
      </c>
      <c r="B42" s="528"/>
      <c r="C42" s="528"/>
      <c r="D42" s="528"/>
      <c r="E42" s="528"/>
      <c r="F42" s="529"/>
      <c r="G42" s="533" t="s">
        <v>344</v>
      </c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535"/>
      <c r="Y42" s="565">
        <v>7</v>
      </c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42">
        <f t="shared" si="2"/>
        <v>34264.46</v>
      </c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  <c r="BA42" s="543"/>
      <c r="BB42" s="543"/>
      <c r="BC42" s="543"/>
      <c r="BD42" s="543"/>
      <c r="BE42" s="544"/>
      <c r="BF42" s="542">
        <f>154125/Y42</f>
        <v>22017.86</v>
      </c>
      <c r="BG42" s="543"/>
      <c r="BH42" s="543"/>
      <c r="BI42" s="543"/>
      <c r="BJ42" s="543"/>
      <c r="BK42" s="543"/>
      <c r="BL42" s="543"/>
      <c r="BM42" s="543"/>
      <c r="BN42" s="543"/>
      <c r="BO42" s="543"/>
      <c r="BP42" s="543"/>
      <c r="BQ42" s="543"/>
      <c r="BR42" s="543"/>
      <c r="BS42" s="543"/>
      <c r="BT42" s="543"/>
      <c r="BU42" s="543"/>
      <c r="BV42" s="543"/>
      <c r="BW42" s="544"/>
      <c r="BX42" s="542">
        <f>(4886+23118.75)/Y42</f>
        <v>4000.68</v>
      </c>
      <c r="BY42" s="543"/>
      <c r="BZ42" s="543"/>
      <c r="CA42" s="543"/>
      <c r="CB42" s="543"/>
      <c r="CC42" s="543"/>
      <c r="CD42" s="543"/>
      <c r="CE42" s="543"/>
      <c r="CF42" s="543"/>
      <c r="CG42" s="543"/>
      <c r="CH42" s="543"/>
      <c r="CI42" s="543"/>
      <c r="CJ42" s="543"/>
      <c r="CK42" s="543"/>
      <c r="CL42" s="543"/>
      <c r="CM42" s="543"/>
      <c r="CN42" s="543"/>
      <c r="CO42" s="543"/>
      <c r="CP42" s="544"/>
      <c r="CQ42" s="551">
        <f>(54638.94+3082.5)/Y42</f>
        <v>8245.92</v>
      </c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3"/>
      <c r="DI42" s="569"/>
      <c r="DJ42" s="570"/>
      <c r="DK42" s="570"/>
      <c r="DL42" s="570"/>
      <c r="DM42" s="570"/>
      <c r="DN42" s="570"/>
      <c r="DO42" s="570"/>
      <c r="DP42" s="570"/>
      <c r="DQ42" s="570"/>
      <c r="DR42" s="570"/>
      <c r="DS42" s="570"/>
      <c r="DT42" s="570"/>
      <c r="DU42" s="570"/>
      <c r="DV42" s="570"/>
      <c r="DW42" s="570"/>
      <c r="DX42" s="571"/>
      <c r="DY42" s="569"/>
      <c r="DZ42" s="570"/>
      <c r="EA42" s="570"/>
      <c r="EB42" s="570"/>
      <c r="EC42" s="570"/>
      <c r="ED42" s="570"/>
      <c r="EE42" s="570"/>
      <c r="EF42" s="570"/>
      <c r="EG42" s="570"/>
      <c r="EH42" s="570"/>
      <c r="EI42" s="570"/>
      <c r="EJ42" s="570"/>
      <c r="EK42" s="570"/>
      <c r="EL42" s="570"/>
      <c r="EM42" s="570"/>
      <c r="EN42" s="571"/>
      <c r="EO42" s="542">
        <f t="shared" si="3"/>
        <v>2878214.64</v>
      </c>
      <c r="EP42" s="543"/>
      <c r="EQ42" s="543"/>
      <c r="ER42" s="543"/>
      <c r="ES42" s="543"/>
      <c r="ET42" s="543"/>
      <c r="EU42" s="543"/>
      <c r="EV42" s="543"/>
      <c r="EW42" s="543"/>
      <c r="EX42" s="543"/>
      <c r="EY42" s="543"/>
      <c r="EZ42" s="543"/>
      <c r="FA42" s="543"/>
      <c r="FB42" s="543"/>
      <c r="FC42" s="543"/>
      <c r="FD42" s="543"/>
      <c r="FE42" s="554"/>
    </row>
    <row r="43" spans="1:161" s="84" customFormat="1" ht="15" customHeight="1" thickBot="1">
      <c r="A43" s="530"/>
      <c r="B43" s="531"/>
      <c r="C43" s="531"/>
      <c r="D43" s="531"/>
      <c r="E43" s="531"/>
      <c r="F43" s="532"/>
      <c r="G43" s="536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8"/>
      <c r="Y43" s="595">
        <v>28</v>
      </c>
      <c r="Z43" s="596"/>
      <c r="AA43" s="596"/>
      <c r="AB43" s="596"/>
      <c r="AC43" s="596"/>
      <c r="AD43" s="596"/>
      <c r="AE43" s="596"/>
      <c r="AF43" s="596"/>
      <c r="AG43" s="596"/>
      <c r="AH43" s="596"/>
      <c r="AI43" s="596"/>
      <c r="AJ43" s="596"/>
      <c r="AK43" s="596"/>
      <c r="AL43" s="596"/>
      <c r="AM43" s="596"/>
      <c r="AN43" s="597"/>
      <c r="AO43" s="556">
        <f t="shared" si="2"/>
        <v>470.91</v>
      </c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8"/>
      <c r="BF43" s="572"/>
      <c r="BG43" s="573"/>
      <c r="BH43" s="573"/>
      <c r="BI43" s="573"/>
      <c r="BJ43" s="573"/>
      <c r="BK43" s="573"/>
      <c r="BL43" s="573"/>
      <c r="BM43" s="573"/>
      <c r="BN43" s="573"/>
      <c r="BO43" s="573"/>
      <c r="BP43" s="573"/>
      <c r="BQ43" s="573"/>
      <c r="BR43" s="573"/>
      <c r="BS43" s="573"/>
      <c r="BT43" s="573"/>
      <c r="BU43" s="573"/>
      <c r="BV43" s="573"/>
      <c r="BW43" s="574"/>
      <c r="BX43" s="572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3"/>
      <c r="CO43" s="573"/>
      <c r="CP43" s="574"/>
      <c r="CQ43" s="588">
        <f>13185.35/Y43</f>
        <v>470.91</v>
      </c>
      <c r="CR43" s="589"/>
      <c r="CS43" s="589"/>
      <c r="CT43" s="589"/>
      <c r="CU43" s="589"/>
      <c r="CV43" s="589"/>
      <c r="CW43" s="589"/>
      <c r="CX43" s="589"/>
      <c r="CY43" s="589"/>
      <c r="CZ43" s="589"/>
      <c r="DA43" s="589"/>
      <c r="DB43" s="589"/>
      <c r="DC43" s="589"/>
      <c r="DD43" s="589"/>
      <c r="DE43" s="589"/>
      <c r="DF43" s="589"/>
      <c r="DG43" s="589"/>
      <c r="DH43" s="590"/>
      <c r="DI43" s="572"/>
      <c r="DJ43" s="573"/>
      <c r="DK43" s="573"/>
      <c r="DL43" s="573"/>
      <c r="DM43" s="573"/>
      <c r="DN43" s="573"/>
      <c r="DO43" s="573"/>
      <c r="DP43" s="573"/>
      <c r="DQ43" s="573"/>
      <c r="DR43" s="573"/>
      <c r="DS43" s="573"/>
      <c r="DT43" s="573"/>
      <c r="DU43" s="573"/>
      <c r="DV43" s="573"/>
      <c r="DW43" s="573"/>
      <c r="DX43" s="574"/>
      <c r="DY43" s="572"/>
      <c r="DZ43" s="573"/>
      <c r="EA43" s="573"/>
      <c r="EB43" s="573"/>
      <c r="EC43" s="573"/>
      <c r="ED43" s="573"/>
      <c r="EE43" s="573"/>
      <c r="EF43" s="573"/>
      <c r="EG43" s="573"/>
      <c r="EH43" s="573"/>
      <c r="EI43" s="573"/>
      <c r="EJ43" s="573"/>
      <c r="EK43" s="573"/>
      <c r="EL43" s="573"/>
      <c r="EM43" s="573"/>
      <c r="EN43" s="574"/>
      <c r="EO43" s="556">
        <f t="shared" si="3"/>
        <v>158225.76</v>
      </c>
      <c r="EP43" s="557"/>
      <c r="EQ43" s="557"/>
      <c r="ER43" s="557"/>
      <c r="ES43" s="557"/>
      <c r="ET43" s="557"/>
      <c r="EU43" s="557"/>
      <c r="EV43" s="557"/>
      <c r="EW43" s="557"/>
      <c r="EX43" s="557"/>
      <c r="EY43" s="557"/>
      <c r="EZ43" s="557"/>
      <c r="FA43" s="557"/>
      <c r="FB43" s="557"/>
      <c r="FC43" s="557"/>
      <c r="FD43" s="557"/>
      <c r="FE43" s="591"/>
    </row>
    <row r="44" spans="1:161" s="84" customFormat="1" ht="15" customHeight="1">
      <c r="A44" s="527" t="s">
        <v>328</v>
      </c>
      <c r="B44" s="528"/>
      <c r="C44" s="528"/>
      <c r="D44" s="528"/>
      <c r="E44" s="528"/>
      <c r="F44" s="529"/>
      <c r="G44" s="533" t="s">
        <v>345</v>
      </c>
      <c r="H44" s="534"/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5"/>
      <c r="Y44" s="565">
        <v>0</v>
      </c>
      <c r="Z44" s="565"/>
      <c r="AA44" s="565"/>
      <c r="AB44" s="565"/>
      <c r="AC44" s="565"/>
      <c r="AD44" s="565"/>
      <c r="AE44" s="565"/>
      <c r="AF44" s="565"/>
      <c r="AG44" s="565"/>
      <c r="AH44" s="565"/>
      <c r="AI44" s="565"/>
      <c r="AJ44" s="565"/>
      <c r="AK44" s="565"/>
      <c r="AL44" s="565"/>
      <c r="AM44" s="565"/>
      <c r="AN44" s="565"/>
      <c r="AO44" s="542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  <c r="BA44" s="543"/>
      <c r="BB44" s="543"/>
      <c r="BC44" s="543"/>
      <c r="BD44" s="543"/>
      <c r="BE44" s="544"/>
      <c r="BF44" s="569"/>
      <c r="BG44" s="570"/>
      <c r="BH44" s="570"/>
      <c r="BI44" s="570"/>
      <c r="BJ44" s="570"/>
      <c r="BK44" s="570"/>
      <c r="BL44" s="570"/>
      <c r="BM44" s="570"/>
      <c r="BN44" s="570"/>
      <c r="BO44" s="570"/>
      <c r="BP44" s="570"/>
      <c r="BQ44" s="570"/>
      <c r="BR44" s="570"/>
      <c r="BS44" s="570"/>
      <c r="BT44" s="570"/>
      <c r="BU44" s="570"/>
      <c r="BV44" s="570"/>
      <c r="BW44" s="571"/>
      <c r="BX44" s="569"/>
      <c r="BY44" s="570"/>
      <c r="BZ44" s="570"/>
      <c r="CA44" s="570"/>
      <c r="CB44" s="570"/>
      <c r="CC44" s="570"/>
      <c r="CD44" s="570"/>
      <c r="CE44" s="570"/>
      <c r="CF44" s="570"/>
      <c r="CG44" s="570"/>
      <c r="CH44" s="570"/>
      <c r="CI44" s="570"/>
      <c r="CJ44" s="570"/>
      <c r="CK44" s="570"/>
      <c r="CL44" s="570"/>
      <c r="CM44" s="570"/>
      <c r="CN44" s="570"/>
      <c r="CO44" s="570"/>
      <c r="CP44" s="571"/>
      <c r="CQ44" s="551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3"/>
      <c r="DI44" s="569"/>
      <c r="DJ44" s="570"/>
      <c r="DK44" s="570"/>
      <c r="DL44" s="570"/>
      <c r="DM44" s="570"/>
      <c r="DN44" s="570"/>
      <c r="DO44" s="570"/>
      <c r="DP44" s="570"/>
      <c r="DQ44" s="570"/>
      <c r="DR44" s="570"/>
      <c r="DS44" s="570"/>
      <c r="DT44" s="570"/>
      <c r="DU44" s="570"/>
      <c r="DV44" s="570"/>
      <c r="DW44" s="570"/>
      <c r="DX44" s="571"/>
      <c r="DY44" s="569"/>
      <c r="DZ44" s="570"/>
      <c r="EA44" s="570"/>
      <c r="EB44" s="570"/>
      <c r="EC44" s="570"/>
      <c r="ED44" s="570"/>
      <c r="EE44" s="570"/>
      <c r="EF44" s="570"/>
      <c r="EG44" s="570"/>
      <c r="EH44" s="570"/>
      <c r="EI44" s="570"/>
      <c r="EJ44" s="570"/>
      <c r="EK44" s="570"/>
      <c r="EL44" s="570"/>
      <c r="EM44" s="570"/>
      <c r="EN44" s="571"/>
      <c r="EO44" s="542">
        <f t="shared" si="3"/>
        <v>0</v>
      </c>
      <c r="EP44" s="543"/>
      <c r="EQ44" s="543"/>
      <c r="ER44" s="543"/>
      <c r="ES44" s="543"/>
      <c r="ET44" s="543"/>
      <c r="EU44" s="543"/>
      <c r="EV44" s="543"/>
      <c r="EW44" s="543"/>
      <c r="EX44" s="543"/>
      <c r="EY44" s="543"/>
      <c r="EZ44" s="543"/>
      <c r="FA44" s="543"/>
      <c r="FB44" s="543"/>
      <c r="FC44" s="543"/>
      <c r="FD44" s="543"/>
      <c r="FE44" s="554"/>
    </row>
    <row r="45" spans="1:161" s="84" customFormat="1" ht="15" customHeight="1" thickBot="1">
      <c r="A45" s="530"/>
      <c r="B45" s="531"/>
      <c r="C45" s="531"/>
      <c r="D45" s="531"/>
      <c r="E45" s="531"/>
      <c r="F45" s="532"/>
      <c r="G45" s="536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8"/>
      <c r="Y45" s="555">
        <v>20</v>
      </c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72">
        <f>BF44+BX44+CQ45</f>
        <v>488.2</v>
      </c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4"/>
      <c r="BF45" s="572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4"/>
      <c r="BX45" s="572"/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4"/>
      <c r="CQ45" s="588">
        <f>9764/Y45</f>
        <v>488.2</v>
      </c>
      <c r="CR45" s="589"/>
      <c r="CS45" s="589"/>
      <c r="CT45" s="589"/>
      <c r="CU45" s="589"/>
      <c r="CV45" s="589"/>
      <c r="CW45" s="589"/>
      <c r="CX45" s="589"/>
      <c r="CY45" s="589"/>
      <c r="CZ45" s="589"/>
      <c r="DA45" s="589"/>
      <c r="DB45" s="589"/>
      <c r="DC45" s="589"/>
      <c r="DD45" s="589"/>
      <c r="DE45" s="589"/>
      <c r="DF45" s="589"/>
      <c r="DG45" s="589"/>
      <c r="DH45" s="590"/>
      <c r="DI45" s="572"/>
      <c r="DJ45" s="573"/>
      <c r="DK45" s="573"/>
      <c r="DL45" s="573"/>
      <c r="DM45" s="573"/>
      <c r="DN45" s="573"/>
      <c r="DO45" s="573"/>
      <c r="DP45" s="573"/>
      <c r="DQ45" s="573"/>
      <c r="DR45" s="573"/>
      <c r="DS45" s="573"/>
      <c r="DT45" s="573"/>
      <c r="DU45" s="573"/>
      <c r="DV45" s="573"/>
      <c r="DW45" s="573"/>
      <c r="DX45" s="574"/>
      <c r="DY45" s="572"/>
      <c r="DZ45" s="573"/>
      <c r="EA45" s="573"/>
      <c r="EB45" s="573"/>
      <c r="EC45" s="573"/>
      <c r="ED45" s="573"/>
      <c r="EE45" s="573"/>
      <c r="EF45" s="573"/>
      <c r="EG45" s="573"/>
      <c r="EH45" s="573"/>
      <c r="EI45" s="573"/>
      <c r="EJ45" s="573"/>
      <c r="EK45" s="573"/>
      <c r="EL45" s="573"/>
      <c r="EM45" s="573"/>
      <c r="EN45" s="574"/>
      <c r="EO45" s="572">
        <f t="shared" si="3"/>
        <v>117168</v>
      </c>
      <c r="EP45" s="573"/>
      <c r="EQ45" s="573"/>
      <c r="ER45" s="573"/>
      <c r="ES45" s="573"/>
      <c r="ET45" s="573"/>
      <c r="EU45" s="573"/>
      <c r="EV45" s="573"/>
      <c r="EW45" s="573"/>
      <c r="EX45" s="573"/>
      <c r="EY45" s="573"/>
      <c r="EZ45" s="573"/>
      <c r="FA45" s="573"/>
      <c r="FB45" s="573"/>
      <c r="FC45" s="573"/>
      <c r="FD45" s="573"/>
      <c r="FE45" s="598"/>
    </row>
    <row r="46" spans="1:161" s="84" customFormat="1" ht="15" customHeight="1">
      <c r="A46" s="599" t="s">
        <v>233</v>
      </c>
      <c r="B46" s="600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0"/>
      <c r="U46" s="600"/>
      <c r="V46" s="600"/>
      <c r="W46" s="600"/>
      <c r="X46" s="601"/>
      <c r="Y46" s="578">
        <f>Y20+Y22+Y24+Y26+Y28+Y30+Y32+Y34+Y36+Y38+Y40+Y42+Y44</f>
        <v>261.15</v>
      </c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79"/>
      <c r="AK46" s="579"/>
      <c r="AL46" s="579"/>
      <c r="AM46" s="579"/>
      <c r="AN46" s="580"/>
      <c r="AO46" s="542">
        <f>BF46+BX46+CQ46</f>
        <v>323993.44</v>
      </c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4"/>
      <c r="BF46" s="542">
        <f>BF22+BF24+BF26+BF28+BF30+BF32+BF34+BF36+BF40+BF42</f>
        <v>212682.1</v>
      </c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4"/>
      <c r="BX46" s="542">
        <f>BX24+BX26+BX30+BX32+BX34+BX36+BX40+BX42</f>
        <v>24804.84</v>
      </c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4"/>
      <c r="CQ46" s="542">
        <f>CQ20+CQ22+CQ24+CQ26+CQ28+CQ30+CQ32+CQ34+CQ36+CQ38+CQ40+CQ42+CQ44</f>
        <v>86506.5</v>
      </c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  <c r="DG46" s="543"/>
      <c r="DH46" s="544"/>
      <c r="DI46" s="569"/>
      <c r="DJ46" s="570"/>
      <c r="DK46" s="570"/>
      <c r="DL46" s="570"/>
      <c r="DM46" s="570"/>
      <c r="DN46" s="570"/>
      <c r="DO46" s="570"/>
      <c r="DP46" s="570"/>
      <c r="DQ46" s="570"/>
      <c r="DR46" s="570"/>
      <c r="DS46" s="570"/>
      <c r="DT46" s="570"/>
      <c r="DU46" s="570"/>
      <c r="DV46" s="570"/>
      <c r="DW46" s="570"/>
      <c r="DX46" s="571"/>
      <c r="DY46" s="569">
        <f>DI46+DI47</f>
        <v>0</v>
      </c>
      <c r="DZ46" s="570"/>
      <c r="EA46" s="570"/>
      <c r="EB46" s="570"/>
      <c r="EC46" s="570"/>
      <c r="ED46" s="570"/>
      <c r="EE46" s="570"/>
      <c r="EF46" s="570"/>
      <c r="EG46" s="570"/>
      <c r="EH46" s="570"/>
      <c r="EI46" s="570"/>
      <c r="EJ46" s="570"/>
      <c r="EK46" s="570"/>
      <c r="EL46" s="570"/>
      <c r="EM46" s="570"/>
      <c r="EN46" s="571"/>
      <c r="EO46" s="542">
        <f>EO20+EO22+EO24+EO26+EO28+EO30+EO32+EO34+EO36+EO38+EO40+EO42+EO44+0.04</f>
        <v>120689195.19</v>
      </c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54"/>
    </row>
    <row r="47" spans="1:161" s="84" customFormat="1" ht="15" customHeight="1" thickBot="1">
      <c r="A47" s="602"/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4"/>
      <c r="Y47" s="595">
        <f>Y21+Y23+Y25+Y27+Y29+Y31+Y33+Y35+Y37+Y39+Y41+Y43+Y45</f>
        <v>639.6</v>
      </c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7"/>
      <c r="AO47" s="572">
        <f>BF47+BX47+CQ47</f>
        <v>31866.03</v>
      </c>
      <c r="AP47" s="573"/>
      <c r="AQ47" s="573"/>
      <c r="AR47" s="573"/>
      <c r="AS47" s="573"/>
      <c r="AT47" s="573"/>
      <c r="AU47" s="573"/>
      <c r="AV47" s="573"/>
      <c r="AW47" s="573"/>
      <c r="AX47" s="573"/>
      <c r="AY47" s="573"/>
      <c r="AZ47" s="573"/>
      <c r="BA47" s="573"/>
      <c r="BB47" s="573"/>
      <c r="BC47" s="573"/>
      <c r="BD47" s="573"/>
      <c r="BE47" s="574"/>
      <c r="BF47" s="572"/>
      <c r="BG47" s="573"/>
      <c r="BH47" s="573"/>
      <c r="BI47" s="573"/>
      <c r="BJ47" s="573"/>
      <c r="BK47" s="573"/>
      <c r="BL47" s="573"/>
      <c r="BM47" s="573"/>
      <c r="BN47" s="573"/>
      <c r="BO47" s="573"/>
      <c r="BP47" s="573"/>
      <c r="BQ47" s="573"/>
      <c r="BR47" s="573"/>
      <c r="BS47" s="573"/>
      <c r="BT47" s="573"/>
      <c r="BU47" s="573"/>
      <c r="BV47" s="573"/>
      <c r="BW47" s="574"/>
      <c r="BX47" s="572"/>
      <c r="BY47" s="573"/>
      <c r="BZ47" s="573"/>
      <c r="CA47" s="573"/>
      <c r="CB47" s="573"/>
      <c r="CC47" s="573"/>
      <c r="CD47" s="573"/>
      <c r="CE47" s="573"/>
      <c r="CF47" s="573"/>
      <c r="CG47" s="573"/>
      <c r="CH47" s="573"/>
      <c r="CI47" s="573"/>
      <c r="CJ47" s="573"/>
      <c r="CK47" s="573"/>
      <c r="CL47" s="573"/>
      <c r="CM47" s="573"/>
      <c r="CN47" s="573"/>
      <c r="CO47" s="573"/>
      <c r="CP47" s="574"/>
      <c r="CQ47" s="572">
        <f>CQ21+CQ23+CQ25+CQ27+CQ29+CQ31+CQ33+CQ35+CQ37+CQ39+CQ41+CQ43+CQ45</f>
        <v>31866.03</v>
      </c>
      <c r="CR47" s="573"/>
      <c r="CS47" s="573"/>
      <c r="CT47" s="573"/>
      <c r="CU47" s="573"/>
      <c r="CV47" s="573"/>
      <c r="CW47" s="573"/>
      <c r="CX47" s="573"/>
      <c r="CY47" s="573"/>
      <c r="CZ47" s="573"/>
      <c r="DA47" s="573"/>
      <c r="DB47" s="573"/>
      <c r="DC47" s="573"/>
      <c r="DD47" s="573"/>
      <c r="DE47" s="573"/>
      <c r="DF47" s="573"/>
      <c r="DG47" s="573"/>
      <c r="DH47" s="574"/>
      <c r="DI47" s="572"/>
      <c r="DJ47" s="573"/>
      <c r="DK47" s="573"/>
      <c r="DL47" s="573"/>
      <c r="DM47" s="573"/>
      <c r="DN47" s="573"/>
      <c r="DO47" s="573"/>
      <c r="DP47" s="573"/>
      <c r="DQ47" s="573"/>
      <c r="DR47" s="573"/>
      <c r="DS47" s="573"/>
      <c r="DT47" s="573"/>
      <c r="DU47" s="573"/>
      <c r="DV47" s="573"/>
      <c r="DW47" s="573"/>
      <c r="DX47" s="574"/>
      <c r="DY47" s="572"/>
      <c r="DZ47" s="573"/>
      <c r="EA47" s="573"/>
      <c r="EB47" s="573"/>
      <c r="EC47" s="573"/>
      <c r="ED47" s="573"/>
      <c r="EE47" s="573"/>
      <c r="EF47" s="573"/>
      <c r="EG47" s="573"/>
      <c r="EH47" s="573"/>
      <c r="EI47" s="573"/>
      <c r="EJ47" s="573"/>
      <c r="EK47" s="573"/>
      <c r="EL47" s="573"/>
      <c r="EM47" s="573"/>
      <c r="EN47" s="574"/>
      <c r="EO47" s="572">
        <v>14310804.81</v>
      </c>
      <c r="EP47" s="573"/>
      <c r="EQ47" s="573"/>
      <c r="ER47" s="573"/>
      <c r="ES47" s="573"/>
      <c r="ET47" s="573"/>
      <c r="EU47" s="573"/>
      <c r="EV47" s="573"/>
      <c r="EW47" s="573"/>
      <c r="EX47" s="573"/>
      <c r="EY47" s="573"/>
      <c r="EZ47" s="573"/>
      <c r="FA47" s="573"/>
      <c r="FB47" s="573"/>
      <c r="FC47" s="573"/>
      <c r="FD47" s="573"/>
      <c r="FE47" s="598"/>
    </row>
    <row r="48" spans="1:161" s="84" customFormat="1" ht="15" customHeight="1">
      <c r="A48" s="605" t="s">
        <v>233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7"/>
      <c r="Y48" s="413">
        <f>SUM(Y46:Y47)</f>
        <v>900.75</v>
      </c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5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15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15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15"/>
      <c r="CR48" s="409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09"/>
      <c r="DN48" s="409"/>
      <c r="DO48" s="409"/>
      <c r="DP48" s="409"/>
      <c r="DQ48" s="409"/>
      <c r="DR48" s="409"/>
      <c r="DS48" s="409"/>
      <c r="DT48" s="409"/>
      <c r="DU48" s="409"/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09"/>
      <c r="EG48" s="409"/>
      <c r="EH48" s="409"/>
      <c r="EI48" s="409"/>
      <c r="EJ48" s="409"/>
      <c r="EK48" s="409"/>
      <c r="EL48" s="409"/>
      <c r="EM48" s="409"/>
      <c r="EN48" s="409"/>
      <c r="EO48" s="414">
        <v>135000000</v>
      </c>
      <c r="EP48" s="414"/>
      <c r="EQ48" s="414"/>
      <c r="ER48" s="414"/>
      <c r="ES48" s="414"/>
      <c r="ET48" s="414"/>
      <c r="EU48" s="414"/>
      <c r="EV48" s="414"/>
      <c r="EW48" s="414"/>
      <c r="EX48" s="414"/>
      <c r="EY48" s="414"/>
      <c r="EZ48" s="414"/>
      <c r="FA48" s="414"/>
      <c r="FB48" s="414"/>
      <c r="FC48" s="414"/>
      <c r="FD48" s="414"/>
      <c r="FE48" s="414"/>
    </row>
    <row r="49" spans="1:161" s="84" customFormat="1" ht="1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6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</row>
    <row r="50" spans="1:161" s="84" customFormat="1" ht="1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6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</row>
    <row r="51" spans="1:161" s="84" customFormat="1" ht="1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6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</row>
    <row r="52" spans="1:161" s="84" customFormat="1" ht="1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6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</row>
    <row r="53" spans="1:161" s="84" customFormat="1" ht="15" customHeight="1">
      <c r="A53" s="80" t="s">
        <v>221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430" t="s">
        <v>109</v>
      </c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0"/>
      <c r="CF53" s="430"/>
      <c r="CG53" s="430"/>
      <c r="CH53" s="430"/>
      <c r="CI53" s="430"/>
      <c r="CJ53" s="430"/>
      <c r="CK53" s="430"/>
      <c r="CL53" s="430"/>
      <c r="CM53" s="430"/>
      <c r="CN53" s="430"/>
      <c r="CO53" s="430"/>
      <c r="CP53" s="430"/>
      <c r="CQ53" s="430"/>
      <c r="CR53" s="430"/>
      <c r="CS53" s="430"/>
      <c r="CT53" s="430"/>
      <c r="CU53" s="430"/>
      <c r="CV53" s="430"/>
      <c r="CW53" s="430"/>
      <c r="CX53" s="430"/>
      <c r="CY53" s="430"/>
      <c r="CZ53" s="430"/>
      <c r="DA53" s="430"/>
      <c r="DB53" s="430"/>
      <c r="DC53" s="430"/>
      <c r="DD53" s="430"/>
      <c r="DE53" s="430"/>
      <c r="DF53" s="430"/>
      <c r="DG53" s="430"/>
      <c r="DH53" s="430"/>
      <c r="DI53" s="430"/>
      <c r="DJ53" s="430"/>
      <c r="DK53" s="430"/>
      <c r="DL53" s="430"/>
      <c r="DM53" s="430"/>
      <c r="DN53" s="430"/>
      <c r="DO53" s="430"/>
      <c r="DP53" s="430"/>
      <c r="DQ53" s="430"/>
      <c r="DR53" s="430"/>
      <c r="DS53" s="430"/>
      <c r="DT53" s="430"/>
      <c r="DU53" s="430"/>
      <c r="DV53" s="430"/>
      <c r="DW53" s="430"/>
      <c r="DX53" s="430"/>
      <c r="DY53" s="430"/>
      <c r="DZ53" s="430"/>
      <c r="EA53" s="430"/>
      <c r="EB53" s="430"/>
      <c r="EC53" s="430"/>
      <c r="ED53" s="430"/>
      <c r="EE53" s="430"/>
      <c r="EF53" s="430"/>
      <c r="EG53" s="430"/>
      <c r="EH53" s="430"/>
      <c r="EI53" s="430"/>
      <c r="EJ53" s="430"/>
      <c r="EK53" s="430"/>
      <c r="EL53" s="430"/>
      <c r="EM53" s="430"/>
      <c r="EN53" s="430"/>
      <c r="EO53" s="430"/>
      <c r="EP53" s="430"/>
      <c r="EQ53" s="430"/>
      <c r="ER53" s="430"/>
      <c r="ES53" s="430"/>
      <c r="ET53" s="430"/>
      <c r="EU53" s="430"/>
      <c r="EV53" s="430"/>
      <c r="EW53" s="430"/>
      <c r="EX53" s="430"/>
      <c r="EY53" s="430"/>
      <c r="EZ53" s="430"/>
      <c r="FA53" s="430"/>
      <c r="FB53" s="430"/>
      <c r="FC53" s="430"/>
      <c r="FD53" s="430"/>
      <c r="FE53" s="430"/>
    </row>
    <row r="54" spans="1:105" s="80" customFormat="1" ht="16.5" customHeight="1">
      <c r="A54" s="608" t="s">
        <v>521</v>
      </c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608"/>
      <c r="AJ54" s="608"/>
      <c r="AK54" s="608"/>
      <c r="AL54" s="608"/>
      <c r="AM54" s="608"/>
      <c r="AN54" s="608"/>
      <c r="AO54" s="608"/>
      <c r="AP54" s="608"/>
      <c r="AQ54" s="608"/>
      <c r="AR54" s="608"/>
      <c r="AS54" s="608"/>
      <c r="AT54" s="608"/>
      <c r="AU54" s="608"/>
      <c r="AV54" s="608"/>
      <c r="AW54" s="608"/>
      <c r="AX54" s="608"/>
      <c r="AY54" s="608"/>
      <c r="AZ54" s="608"/>
      <c r="BA54" s="608"/>
      <c r="BB54" s="608"/>
      <c r="BC54" s="608"/>
      <c r="BD54" s="608"/>
      <c r="BE54" s="608"/>
      <c r="BF54" s="608"/>
      <c r="BG54" s="608"/>
      <c r="BH54" s="608"/>
      <c r="BI54" s="608"/>
      <c r="BJ54" s="608"/>
      <c r="BK54" s="608"/>
      <c r="BL54" s="608"/>
      <c r="BM54" s="608"/>
      <c r="BN54" s="608"/>
      <c r="BO54" s="608"/>
      <c r="BP54" s="608"/>
      <c r="BQ54" s="608"/>
      <c r="BR54" s="608"/>
      <c r="BS54" s="608"/>
      <c r="BT54" s="608"/>
      <c r="BU54" s="608"/>
      <c r="BV54" s="608"/>
      <c r="BW54" s="608"/>
      <c r="BX54" s="608"/>
      <c r="BY54" s="608"/>
      <c r="BZ54" s="608"/>
      <c r="CA54" s="608"/>
      <c r="CB54" s="608"/>
      <c r="CC54" s="608"/>
      <c r="CD54" s="608"/>
      <c r="CE54" s="608"/>
      <c r="CF54" s="608"/>
      <c r="CG54" s="608"/>
      <c r="CH54" s="608"/>
      <c r="CI54" s="608"/>
      <c r="CJ54" s="608"/>
      <c r="CK54" s="608"/>
      <c r="CL54" s="608"/>
      <c r="CM54" s="608"/>
      <c r="CN54" s="608"/>
      <c r="CO54" s="608"/>
      <c r="CP54" s="608"/>
      <c r="CQ54" s="608"/>
      <c r="CR54" s="608"/>
      <c r="CS54" s="608"/>
      <c r="CT54" s="608"/>
      <c r="CU54" s="608"/>
      <c r="CV54" s="608"/>
      <c r="CW54" s="608"/>
      <c r="CX54" s="608"/>
      <c r="CY54" s="608"/>
      <c r="CZ54" s="608"/>
      <c r="DA54" s="608"/>
    </row>
    <row r="55" ht="24" customHeight="1"/>
    <row r="56" spans="1:105" s="82" customFormat="1" ht="45" customHeight="1">
      <c r="A56" s="201" t="s">
        <v>192</v>
      </c>
      <c r="B56" s="202"/>
      <c r="C56" s="202"/>
      <c r="D56" s="202"/>
      <c r="E56" s="202"/>
      <c r="F56" s="203"/>
      <c r="G56" s="201" t="s">
        <v>236</v>
      </c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3"/>
      <c r="AE56" s="201" t="s">
        <v>237</v>
      </c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3"/>
      <c r="BD56" s="201" t="s">
        <v>238</v>
      </c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3"/>
      <c r="BT56" s="201" t="s">
        <v>239</v>
      </c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3"/>
      <c r="CJ56" s="201" t="s">
        <v>240</v>
      </c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3"/>
    </row>
    <row r="57" spans="1:105" s="83" customFormat="1" ht="12.75">
      <c r="A57" s="416">
        <v>1</v>
      </c>
      <c r="B57" s="416"/>
      <c r="C57" s="416"/>
      <c r="D57" s="416"/>
      <c r="E57" s="416"/>
      <c r="F57" s="416"/>
      <c r="G57" s="416">
        <v>2</v>
      </c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>
        <v>3</v>
      </c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>
        <v>4</v>
      </c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416"/>
      <c r="BQ57" s="416"/>
      <c r="BR57" s="416"/>
      <c r="BS57" s="416"/>
      <c r="BT57" s="416">
        <v>5</v>
      </c>
      <c r="BU57" s="416"/>
      <c r="BV57" s="416"/>
      <c r="BW57" s="416"/>
      <c r="BX57" s="416"/>
      <c r="BY57" s="416"/>
      <c r="BZ57" s="416"/>
      <c r="CA57" s="416"/>
      <c r="CB57" s="416"/>
      <c r="CC57" s="416"/>
      <c r="CD57" s="416"/>
      <c r="CE57" s="416"/>
      <c r="CF57" s="416"/>
      <c r="CG57" s="416"/>
      <c r="CH57" s="416"/>
      <c r="CI57" s="416"/>
      <c r="CJ57" s="416">
        <v>6</v>
      </c>
      <c r="CK57" s="416"/>
      <c r="CL57" s="416"/>
      <c r="CM57" s="416"/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416"/>
      <c r="CZ57" s="416"/>
      <c r="DA57" s="416"/>
    </row>
    <row r="58" spans="1:105" s="84" customFormat="1" ht="15" customHeight="1">
      <c r="A58" s="407" t="s">
        <v>169</v>
      </c>
      <c r="B58" s="407"/>
      <c r="C58" s="407"/>
      <c r="D58" s="407"/>
      <c r="E58" s="407"/>
      <c r="F58" s="407"/>
      <c r="G58" s="408" t="s">
        <v>346</v>
      </c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71">
        <v>4235.3</v>
      </c>
      <c r="AF58" s="471"/>
      <c r="AG58" s="471"/>
      <c r="AH58" s="471"/>
      <c r="AI58" s="471"/>
      <c r="AJ58" s="471"/>
      <c r="AK58" s="471"/>
      <c r="AL58" s="471"/>
      <c r="AM58" s="471"/>
      <c r="AN58" s="471"/>
      <c r="AO58" s="471"/>
      <c r="AP58" s="471"/>
      <c r="AQ58" s="471"/>
      <c r="AR58" s="471"/>
      <c r="AS58" s="471"/>
      <c r="AT58" s="471"/>
      <c r="AU58" s="471"/>
      <c r="AV58" s="471"/>
      <c r="AW58" s="471"/>
      <c r="AX58" s="471"/>
      <c r="AY58" s="471"/>
      <c r="AZ58" s="471"/>
      <c r="BA58" s="471"/>
      <c r="BB58" s="471"/>
      <c r="BC58" s="471"/>
      <c r="BD58" s="409">
        <v>85</v>
      </c>
      <c r="BE58" s="409"/>
      <c r="BF58" s="409"/>
      <c r="BG58" s="409"/>
      <c r="BH58" s="409"/>
      <c r="BI58" s="409"/>
      <c r="BJ58" s="409"/>
      <c r="BK58" s="409"/>
      <c r="BL58" s="409"/>
      <c r="BM58" s="409"/>
      <c r="BN58" s="409"/>
      <c r="BO58" s="409"/>
      <c r="BP58" s="409"/>
      <c r="BQ58" s="409"/>
      <c r="BR58" s="409"/>
      <c r="BS58" s="409"/>
      <c r="BT58" s="409">
        <v>5</v>
      </c>
      <c r="BU58" s="409"/>
      <c r="BV58" s="409"/>
      <c r="BW58" s="409"/>
      <c r="BX58" s="409"/>
      <c r="BY58" s="409"/>
      <c r="BZ58" s="409"/>
      <c r="CA58" s="409"/>
      <c r="CB58" s="409"/>
      <c r="CC58" s="409"/>
      <c r="CD58" s="409"/>
      <c r="CE58" s="409"/>
      <c r="CF58" s="409"/>
      <c r="CG58" s="409"/>
      <c r="CH58" s="409"/>
      <c r="CI58" s="409"/>
      <c r="CJ58" s="471">
        <f>AE58*BD58*BT58-2.5</f>
        <v>1800000</v>
      </c>
      <c r="CK58" s="471"/>
      <c r="CL58" s="471"/>
      <c r="CM58" s="471"/>
      <c r="CN58" s="471"/>
      <c r="CO58" s="471"/>
      <c r="CP58" s="471"/>
      <c r="CQ58" s="471"/>
      <c r="CR58" s="471"/>
      <c r="CS58" s="471"/>
      <c r="CT58" s="471"/>
      <c r="CU58" s="471"/>
      <c r="CV58" s="471"/>
      <c r="CW58" s="471"/>
      <c r="CX58" s="471"/>
      <c r="CY58" s="471"/>
      <c r="CZ58" s="471"/>
      <c r="DA58" s="471"/>
    </row>
    <row r="59" spans="1:105" s="84" customFormat="1" ht="15" customHeight="1">
      <c r="A59" s="407"/>
      <c r="B59" s="407"/>
      <c r="C59" s="407"/>
      <c r="D59" s="407"/>
      <c r="E59" s="407"/>
      <c r="F59" s="407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409"/>
      <c r="AS59" s="409"/>
      <c r="AT59" s="409"/>
      <c r="AU59" s="409"/>
      <c r="AV59" s="409"/>
      <c r="AW59" s="409"/>
      <c r="AX59" s="409"/>
      <c r="AY59" s="409"/>
      <c r="AZ59" s="409"/>
      <c r="BA59" s="409"/>
      <c r="BB59" s="409"/>
      <c r="BC59" s="409"/>
      <c r="BD59" s="409"/>
      <c r="BE59" s="409"/>
      <c r="BF59" s="409"/>
      <c r="BG59" s="409"/>
      <c r="BH59" s="409"/>
      <c r="BI59" s="409"/>
      <c r="BJ59" s="409"/>
      <c r="BK59" s="409"/>
      <c r="BL59" s="409"/>
      <c r="BM59" s="409"/>
      <c r="BN59" s="409"/>
      <c r="BO59" s="409"/>
      <c r="BP59" s="409"/>
      <c r="BQ59" s="409"/>
      <c r="BR59" s="409"/>
      <c r="BS59" s="409"/>
      <c r="BT59" s="409"/>
      <c r="BU59" s="409"/>
      <c r="BV59" s="409"/>
      <c r="BW59" s="409"/>
      <c r="BX59" s="409"/>
      <c r="BY59" s="409"/>
      <c r="BZ59" s="409"/>
      <c r="CA59" s="409"/>
      <c r="CB59" s="409"/>
      <c r="CC59" s="409"/>
      <c r="CD59" s="409"/>
      <c r="CE59" s="409"/>
      <c r="CF59" s="409"/>
      <c r="CG59" s="409"/>
      <c r="CH59" s="409"/>
      <c r="CI59" s="409"/>
      <c r="CJ59" s="409"/>
      <c r="CK59" s="409"/>
      <c r="CL59" s="409"/>
      <c r="CM59" s="409"/>
      <c r="CN59" s="409"/>
      <c r="CO59" s="409"/>
      <c r="CP59" s="409"/>
      <c r="CQ59" s="409"/>
      <c r="CR59" s="409"/>
      <c r="CS59" s="409"/>
      <c r="CT59" s="409"/>
      <c r="CU59" s="409"/>
      <c r="CV59" s="409"/>
      <c r="CW59" s="409"/>
      <c r="CX59" s="409"/>
      <c r="CY59" s="409"/>
      <c r="CZ59" s="409"/>
      <c r="DA59" s="409"/>
    </row>
    <row r="60" spans="1:105" s="84" customFormat="1" ht="15" customHeight="1">
      <c r="A60" s="407"/>
      <c r="B60" s="407"/>
      <c r="C60" s="407"/>
      <c r="D60" s="407"/>
      <c r="E60" s="407"/>
      <c r="F60" s="407"/>
      <c r="G60" s="437" t="s">
        <v>233</v>
      </c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8"/>
      <c r="AE60" s="409" t="s">
        <v>234</v>
      </c>
      <c r="AF60" s="409"/>
      <c r="AG60" s="409"/>
      <c r="AH60" s="409"/>
      <c r="AI60" s="409"/>
      <c r="AJ60" s="409"/>
      <c r="AK60" s="409"/>
      <c r="AL60" s="409"/>
      <c r="AM60" s="409"/>
      <c r="AN60" s="409"/>
      <c r="AO60" s="409"/>
      <c r="AP60" s="409"/>
      <c r="AQ60" s="409"/>
      <c r="AR60" s="409"/>
      <c r="AS60" s="409"/>
      <c r="AT60" s="409"/>
      <c r="AU60" s="409"/>
      <c r="AV60" s="409"/>
      <c r="AW60" s="409"/>
      <c r="AX60" s="409"/>
      <c r="AY60" s="409"/>
      <c r="AZ60" s="409"/>
      <c r="BA60" s="409"/>
      <c r="BB60" s="409"/>
      <c r="BC60" s="409"/>
      <c r="BD60" s="409" t="s">
        <v>234</v>
      </c>
      <c r="BE60" s="409"/>
      <c r="BF60" s="409"/>
      <c r="BG60" s="409"/>
      <c r="BH60" s="409"/>
      <c r="BI60" s="409"/>
      <c r="BJ60" s="409"/>
      <c r="BK60" s="409"/>
      <c r="BL60" s="409"/>
      <c r="BM60" s="409"/>
      <c r="BN60" s="409"/>
      <c r="BO60" s="409"/>
      <c r="BP60" s="409"/>
      <c r="BQ60" s="409"/>
      <c r="BR60" s="409"/>
      <c r="BS60" s="409"/>
      <c r="BT60" s="409" t="s">
        <v>234</v>
      </c>
      <c r="BU60" s="409"/>
      <c r="BV60" s="409"/>
      <c r="BW60" s="409"/>
      <c r="BX60" s="409"/>
      <c r="BY60" s="409"/>
      <c r="BZ60" s="409"/>
      <c r="CA60" s="409"/>
      <c r="CB60" s="409"/>
      <c r="CC60" s="409"/>
      <c r="CD60" s="409"/>
      <c r="CE60" s="409"/>
      <c r="CF60" s="409"/>
      <c r="CG60" s="409"/>
      <c r="CH60" s="409"/>
      <c r="CI60" s="409"/>
      <c r="CJ60" s="490">
        <f>SUM(CJ58:CJ59)</f>
        <v>1800000</v>
      </c>
      <c r="CK60" s="413"/>
      <c r="CL60" s="413"/>
      <c r="CM60" s="413"/>
      <c r="CN60" s="413"/>
      <c r="CO60" s="413"/>
      <c r="CP60" s="413"/>
      <c r="CQ60" s="413"/>
      <c r="CR60" s="413"/>
      <c r="CS60" s="413"/>
      <c r="CT60" s="413"/>
      <c r="CU60" s="413"/>
      <c r="CV60" s="413"/>
      <c r="CW60" s="413"/>
      <c r="CX60" s="413"/>
      <c r="CY60" s="413"/>
      <c r="CZ60" s="413"/>
      <c r="DA60" s="413"/>
    </row>
    <row r="61" ht="12" customHeight="1"/>
    <row r="62" spans="1:105" s="84" customFormat="1" ht="15" customHeight="1">
      <c r="A62" s="199" t="s">
        <v>522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</row>
    <row r="63" spans="1:105" s="84" customFormat="1" ht="1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</row>
    <row r="64" spans="1:105" s="84" customFormat="1" ht="23.25" customHeight="1">
      <c r="A64" s="419" t="s">
        <v>192</v>
      </c>
      <c r="B64" s="420"/>
      <c r="C64" s="420"/>
      <c r="D64" s="420"/>
      <c r="E64" s="420"/>
      <c r="F64" s="421"/>
      <c r="G64" s="419" t="s">
        <v>236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1"/>
      <c r="AE64" s="419" t="s">
        <v>242</v>
      </c>
      <c r="AF64" s="420"/>
      <c r="AG64" s="420"/>
      <c r="AH64" s="420"/>
      <c r="AI64" s="420"/>
      <c r="AJ64" s="420"/>
      <c r="AK64" s="420"/>
      <c r="AL64" s="420"/>
      <c r="AM64" s="420"/>
      <c r="AN64" s="420"/>
      <c r="AO64" s="420"/>
      <c r="AP64" s="420"/>
      <c r="AQ64" s="420"/>
      <c r="AR64" s="420"/>
      <c r="AS64" s="420"/>
      <c r="AT64" s="420"/>
      <c r="AU64" s="420"/>
      <c r="AV64" s="420"/>
      <c r="AW64" s="420"/>
      <c r="AX64" s="420"/>
      <c r="AY64" s="421"/>
      <c r="AZ64" s="419" t="s">
        <v>243</v>
      </c>
      <c r="BA64" s="420"/>
      <c r="BB64" s="420"/>
      <c r="BC64" s="420"/>
      <c r="BD64" s="420"/>
      <c r="BE64" s="420"/>
      <c r="BF64" s="420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1"/>
      <c r="BR64" s="419" t="s">
        <v>244</v>
      </c>
      <c r="BS64" s="420"/>
      <c r="BT64" s="420"/>
      <c r="BU64" s="420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1"/>
      <c r="CJ64" s="419" t="s">
        <v>240</v>
      </c>
      <c r="CK64" s="420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0"/>
      <c r="DA64" s="421"/>
    </row>
    <row r="65" spans="1:105" s="84" customFormat="1" ht="15" customHeight="1">
      <c r="A65" s="416">
        <v>1</v>
      </c>
      <c r="B65" s="416"/>
      <c r="C65" s="416"/>
      <c r="D65" s="416"/>
      <c r="E65" s="416"/>
      <c r="F65" s="416"/>
      <c r="G65" s="416">
        <v>2</v>
      </c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>
        <v>3</v>
      </c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6"/>
      <c r="AY65" s="416"/>
      <c r="AZ65" s="416">
        <v>4</v>
      </c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6"/>
      <c r="BL65" s="416"/>
      <c r="BM65" s="416"/>
      <c r="BN65" s="416"/>
      <c r="BO65" s="416"/>
      <c r="BP65" s="416"/>
      <c r="BQ65" s="416"/>
      <c r="BR65" s="416">
        <v>5</v>
      </c>
      <c r="BS65" s="416"/>
      <c r="BT65" s="416"/>
      <c r="BU65" s="416"/>
      <c r="BV65" s="416"/>
      <c r="BW65" s="416"/>
      <c r="BX65" s="416"/>
      <c r="BY65" s="416"/>
      <c r="BZ65" s="416"/>
      <c r="CA65" s="416"/>
      <c r="CB65" s="416"/>
      <c r="CC65" s="416"/>
      <c r="CD65" s="416"/>
      <c r="CE65" s="416"/>
      <c r="CF65" s="416"/>
      <c r="CG65" s="416"/>
      <c r="CH65" s="416"/>
      <c r="CI65" s="416"/>
      <c r="CJ65" s="416">
        <v>6</v>
      </c>
      <c r="CK65" s="416"/>
      <c r="CL65" s="416"/>
      <c r="CM65" s="416"/>
      <c r="CN65" s="416"/>
      <c r="CO65" s="416"/>
      <c r="CP65" s="416"/>
      <c r="CQ65" s="416"/>
      <c r="CR65" s="416"/>
      <c r="CS65" s="416"/>
      <c r="CT65" s="416"/>
      <c r="CU65" s="416"/>
      <c r="CV65" s="416"/>
      <c r="CW65" s="416"/>
      <c r="CX65" s="416"/>
      <c r="CY65" s="416"/>
      <c r="CZ65" s="416"/>
      <c r="DA65" s="416"/>
    </row>
    <row r="66" spans="1:105" s="84" customFormat="1" ht="15" customHeight="1">
      <c r="A66" s="407" t="s">
        <v>169</v>
      </c>
      <c r="B66" s="407"/>
      <c r="C66" s="407"/>
      <c r="D66" s="407"/>
      <c r="E66" s="407"/>
      <c r="F66" s="407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  <c r="AW66" s="409"/>
      <c r="AX66" s="409"/>
      <c r="AY66" s="409"/>
      <c r="AZ66" s="409"/>
      <c r="BA66" s="409"/>
      <c r="BB66" s="409"/>
      <c r="BC66" s="409"/>
      <c r="BD66" s="409"/>
      <c r="BE66" s="409"/>
      <c r="BF66" s="409"/>
      <c r="BG66" s="409"/>
      <c r="BH66" s="409"/>
      <c r="BI66" s="409"/>
      <c r="BJ66" s="409"/>
      <c r="BK66" s="409"/>
      <c r="BL66" s="409"/>
      <c r="BM66" s="409"/>
      <c r="BN66" s="409"/>
      <c r="BO66" s="409"/>
      <c r="BP66" s="409"/>
      <c r="BQ66" s="409"/>
      <c r="BR66" s="190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2"/>
      <c r="CJ66" s="471"/>
      <c r="CK66" s="471"/>
      <c r="CL66" s="471"/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1"/>
      <c r="CX66" s="471"/>
      <c r="CY66" s="471"/>
      <c r="CZ66" s="471"/>
      <c r="DA66" s="471"/>
    </row>
    <row r="67" spans="1:105" s="84" customFormat="1" ht="15" customHeight="1">
      <c r="A67" s="407"/>
      <c r="B67" s="407"/>
      <c r="C67" s="407"/>
      <c r="D67" s="407"/>
      <c r="E67" s="407"/>
      <c r="F67" s="407"/>
      <c r="G67" s="437" t="s">
        <v>233</v>
      </c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438"/>
      <c r="AE67" s="409" t="s">
        <v>234</v>
      </c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09" t="s">
        <v>234</v>
      </c>
      <c r="BA67" s="409"/>
      <c r="BB67" s="409"/>
      <c r="BC67" s="409"/>
      <c r="BD67" s="409"/>
      <c r="BE67" s="409"/>
      <c r="BF67" s="409"/>
      <c r="BG67" s="409"/>
      <c r="BH67" s="409"/>
      <c r="BI67" s="409"/>
      <c r="BJ67" s="409"/>
      <c r="BK67" s="409"/>
      <c r="BL67" s="409"/>
      <c r="BM67" s="409"/>
      <c r="BN67" s="409"/>
      <c r="BO67" s="409"/>
      <c r="BP67" s="409"/>
      <c r="BQ67" s="409"/>
      <c r="BR67" s="409" t="s">
        <v>234</v>
      </c>
      <c r="BS67" s="409"/>
      <c r="BT67" s="409"/>
      <c r="BU67" s="409"/>
      <c r="BV67" s="409"/>
      <c r="BW67" s="409"/>
      <c r="BX67" s="409"/>
      <c r="BY67" s="409"/>
      <c r="BZ67" s="409"/>
      <c r="CA67" s="409"/>
      <c r="CB67" s="409"/>
      <c r="CC67" s="409"/>
      <c r="CD67" s="409"/>
      <c r="CE67" s="409"/>
      <c r="CF67" s="409"/>
      <c r="CG67" s="409"/>
      <c r="CH67" s="409"/>
      <c r="CI67" s="409"/>
      <c r="CJ67" s="490">
        <f>SUM(CJ66:CJ66)</f>
        <v>0</v>
      </c>
      <c r="CK67" s="413"/>
      <c r="CL67" s="413"/>
      <c r="CM67" s="413"/>
      <c r="CN67" s="413"/>
      <c r="CO67" s="413"/>
      <c r="CP67" s="413"/>
      <c r="CQ67" s="413"/>
      <c r="CR67" s="413"/>
      <c r="CS67" s="413"/>
      <c r="CT67" s="413"/>
      <c r="CU67" s="413"/>
      <c r="CV67" s="413"/>
      <c r="CW67" s="413"/>
      <c r="CX67" s="413"/>
      <c r="CY67" s="413"/>
      <c r="CZ67" s="413"/>
      <c r="DA67" s="413"/>
    </row>
    <row r="68" spans="1:162" ht="58.5" customHeight="1">
      <c r="A68" s="439" t="s">
        <v>523</v>
      </c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39"/>
      <c r="BE68" s="439"/>
      <c r="BF68" s="439"/>
      <c r="BG68" s="439"/>
      <c r="BH68" s="439"/>
      <c r="BI68" s="439"/>
      <c r="BJ68" s="439"/>
      <c r="BK68" s="439"/>
      <c r="BL68" s="439"/>
      <c r="BM68" s="439"/>
      <c r="BN68" s="439"/>
      <c r="BO68" s="439"/>
      <c r="BP68" s="439"/>
      <c r="BQ68" s="439"/>
      <c r="BR68" s="439"/>
      <c r="BS68" s="439"/>
      <c r="BT68" s="439"/>
      <c r="BU68" s="439"/>
      <c r="BV68" s="439"/>
      <c r="BW68" s="439"/>
      <c r="BX68" s="439"/>
      <c r="BY68" s="439"/>
      <c r="BZ68" s="439"/>
      <c r="CA68" s="439"/>
      <c r="CB68" s="439"/>
      <c r="CC68" s="439"/>
      <c r="CD68" s="439"/>
      <c r="CE68" s="439"/>
      <c r="CF68" s="439"/>
      <c r="CG68" s="439"/>
      <c r="CH68" s="439"/>
      <c r="CI68" s="439"/>
      <c r="CJ68" s="439"/>
      <c r="CK68" s="439"/>
      <c r="CL68" s="439"/>
      <c r="CM68" s="439"/>
      <c r="CN68" s="439"/>
      <c r="CO68" s="439"/>
      <c r="CP68" s="439"/>
      <c r="CQ68" s="439"/>
      <c r="CR68" s="439"/>
      <c r="CS68" s="439"/>
      <c r="CT68" s="439"/>
      <c r="CU68" s="439"/>
      <c r="CV68" s="439"/>
      <c r="CW68" s="439"/>
      <c r="CX68" s="439"/>
      <c r="CY68" s="439"/>
      <c r="CZ68" s="439"/>
      <c r="DA68" s="439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</row>
    <row r="69" spans="1:162" s="80" customFormat="1" ht="1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</row>
    <row r="70" spans="1:105" ht="24.75" customHeight="1">
      <c r="A70" s="419" t="s">
        <v>192</v>
      </c>
      <c r="B70" s="420"/>
      <c r="C70" s="420"/>
      <c r="D70" s="420"/>
      <c r="E70" s="420"/>
      <c r="F70" s="421"/>
      <c r="G70" s="419" t="s">
        <v>246</v>
      </c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420"/>
      <c r="BO70" s="420"/>
      <c r="BP70" s="420"/>
      <c r="BQ70" s="420"/>
      <c r="BR70" s="420"/>
      <c r="BS70" s="420"/>
      <c r="BT70" s="420"/>
      <c r="BU70" s="420"/>
      <c r="BV70" s="421"/>
      <c r="BW70" s="419" t="s">
        <v>247</v>
      </c>
      <c r="BX70" s="420"/>
      <c r="BY70" s="420"/>
      <c r="BZ70" s="420"/>
      <c r="CA70" s="420"/>
      <c r="CB70" s="420"/>
      <c r="CC70" s="420"/>
      <c r="CD70" s="420"/>
      <c r="CE70" s="420"/>
      <c r="CF70" s="420"/>
      <c r="CG70" s="420"/>
      <c r="CH70" s="420"/>
      <c r="CI70" s="420"/>
      <c r="CJ70" s="420"/>
      <c r="CK70" s="420"/>
      <c r="CL70" s="421"/>
      <c r="CM70" s="419" t="s">
        <v>248</v>
      </c>
      <c r="CN70" s="420"/>
      <c r="CO70" s="420"/>
      <c r="CP70" s="420"/>
      <c r="CQ70" s="420"/>
      <c r="CR70" s="420"/>
      <c r="CS70" s="420"/>
      <c r="CT70" s="420"/>
      <c r="CU70" s="420"/>
      <c r="CV70" s="420"/>
      <c r="CW70" s="420"/>
      <c r="CX70" s="420"/>
      <c r="CY70" s="420"/>
      <c r="CZ70" s="420"/>
      <c r="DA70" s="421"/>
    </row>
    <row r="71" spans="1:162" s="80" customFormat="1" ht="14.25">
      <c r="A71" s="416">
        <v>1</v>
      </c>
      <c r="B71" s="416"/>
      <c r="C71" s="416"/>
      <c r="D71" s="416"/>
      <c r="E71" s="416"/>
      <c r="F71" s="416"/>
      <c r="G71" s="416">
        <v>2</v>
      </c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>
        <v>3</v>
      </c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416">
        <v>4</v>
      </c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416"/>
      <c r="CZ71" s="416"/>
      <c r="DA71" s="41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</row>
    <row r="72" spans="1:162" s="80" customFormat="1" ht="27.75" customHeight="1">
      <c r="A72" s="407" t="s">
        <v>169</v>
      </c>
      <c r="B72" s="407"/>
      <c r="C72" s="407"/>
      <c r="D72" s="407"/>
      <c r="E72" s="407"/>
      <c r="F72" s="407"/>
      <c r="G72" s="96"/>
      <c r="H72" s="435" t="s">
        <v>249</v>
      </c>
      <c r="I72" s="435"/>
      <c r="J72" s="435"/>
      <c r="K72" s="435"/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5"/>
      <c r="BC72" s="435"/>
      <c r="BD72" s="435"/>
      <c r="BE72" s="435"/>
      <c r="BF72" s="435"/>
      <c r="BG72" s="435"/>
      <c r="BH72" s="435"/>
      <c r="BI72" s="435"/>
      <c r="BJ72" s="435"/>
      <c r="BK72" s="435"/>
      <c r="BL72" s="435"/>
      <c r="BM72" s="435"/>
      <c r="BN72" s="435"/>
      <c r="BO72" s="435"/>
      <c r="BP72" s="435"/>
      <c r="BQ72" s="435"/>
      <c r="BR72" s="435"/>
      <c r="BS72" s="435"/>
      <c r="BT72" s="435"/>
      <c r="BU72" s="435"/>
      <c r="BV72" s="436"/>
      <c r="BW72" s="409" t="s">
        <v>234</v>
      </c>
      <c r="BX72" s="409"/>
      <c r="BY72" s="409"/>
      <c r="BZ72" s="409"/>
      <c r="CA72" s="409"/>
      <c r="CB72" s="409"/>
      <c r="CC72" s="409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09"/>
      <c r="CO72" s="409"/>
      <c r="CP72" s="409"/>
      <c r="CQ72" s="409"/>
      <c r="CR72" s="409"/>
      <c r="CS72" s="409"/>
      <c r="CT72" s="409"/>
      <c r="CU72" s="409"/>
      <c r="CV72" s="409"/>
      <c r="CW72" s="409"/>
      <c r="CX72" s="409"/>
      <c r="CY72" s="409"/>
      <c r="CZ72" s="409"/>
      <c r="DA72" s="40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</row>
    <row r="73" spans="1:162" s="80" customFormat="1" ht="14.25">
      <c r="A73" s="455" t="s">
        <v>250</v>
      </c>
      <c r="B73" s="456"/>
      <c r="C73" s="456"/>
      <c r="D73" s="456"/>
      <c r="E73" s="456"/>
      <c r="F73" s="457"/>
      <c r="G73" s="97"/>
      <c r="H73" s="461" t="s">
        <v>6</v>
      </c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461"/>
      <c r="AV73" s="461"/>
      <c r="AW73" s="461"/>
      <c r="AX73" s="461"/>
      <c r="AY73" s="461"/>
      <c r="AZ73" s="461"/>
      <c r="BA73" s="461"/>
      <c r="BB73" s="461"/>
      <c r="BC73" s="461"/>
      <c r="BD73" s="461"/>
      <c r="BE73" s="461"/>
      <c r="BF73" s="461"/>
      <c r="BG73" s="461"/>
      <c r="BH73" s="461"/>
      <c r="BI73" s="461"/>
      <c r="BJ73" s="461"/>
      <c r="BK73" s="461"/>
      <c r="BL73" s="461"/>
      <c r="BM73" s="461"/>
      <c r="BN73" s="461"/>
      <c r="BO73" s="461"/>
      <c r="BP73" s="461"/>
      <c r="BQ73" s="461"/>
      <c r="BR73" s="461"/>
      <c r="BS73" s="461"/>
      <c r="BT73" s="461"/>
      <c r="BU73" s="461"/>
      <c r="BV73" s="462"/>
      <c r="BW73" s="472">
        <v>135000000</v>
      </c>
      <c r="BX73" s="473"/>
      <c r="BY73" s="473"/>
      <c r="BZ73" s="473"/>
      <c r="CA73" s="473"/>
      <c r="CB73" s="473"/>
      <c r="CC73" s="473"/>
      <c r="CD73" s="473"/>
      <c r="CE73" s="473"/>
      <c r="CF73" s="473"/>
      <c r="CG73" s="473"/>
      <c r="CH73" s="473"/>
      <c r="CI73" s="473"/>
      <c r="CJ73" s="473"/>
      <c r="CK73" s="473"/>
      <c r="CL73" s="474"/>
      <c r="CM73" s="472">
        <f>BW73*22%</f>
        <v>29700000</v>
      </c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5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</row>
    <row r="74" spans="1:162" ht="10.5" customHeight="1">
      <c r="A74" s="458"/>
      <c r="B74" s="459"/>
      <c r="C74" s="459"/>
      <c r="D74" s="459"/>
      <c r="E74" s="459"/>
      <c r="F74" s="460"/>
      <c r="G74" s="98"/>
      <c r="H74" s="469" t="s">
        <v>251</v>
      </c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69"/>
      <c r="BA74" s="469"/>
      <c r="BB74" s="469"/>
      <c r="BC74" s="469"/>
      <c r="BD74" s="469"/>
      <c r="BE74" s="469"/>
      <c r="BF74" s="469"/>
      <c r="BG74" s="469"/>
      <c r="BH74" s="469"/>
      <c r="BI74" s="469"/>
      <c r="BJ74" s="469"/>
      <c r="BK74" s="469"/>
      <c r="BL74" s="469"/>
      <c r="BM74" s="469"/>
      <c r="BN74" s="469"/>
      <c r="BO74" s="469"/>
      <c r="BP74" s="469"/>
      <c r="BQ74" s="469"/>
      <c r="BR74" s="469"/>
      <c r="BS74" s="469"/>
      <c r="BT74" s="469"/>
      <c r="BU74" s="469"/>
      <c r="BV74" s="470"/>
      <c r="BW74" s="491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3"/>
      <c r="CM74" s="496"/>
      <c r="CN74" s="497"/>
      <c r="CO74" s="497"/>
      <c r="CP74" s="497"/>
      <c r="CQ74" s="497"/>
      <c r="CR74" s="497"/>
      <c r="CS74" s="497"/>
      <c r="CT74" s="497"/>
      <c r="CU74" s="497"/>
      <c r="CV74" s="497"/>
      <c r="CW74" s="497"/>
      <c r="CX74" s="497"/>
      <c r="CY74" s="497"/>
      <c r="CZ74" s="497"/>
      <c r="DA74" s="498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</row>
    <row r="75" spans="1:162" s="82" customFormat="1" ht="24" customHeight="1">
      <c r="A75" s="407" t="s">
        <v>252</v>
      </c>
      <c r="B75" s="407"/>
      <c r="C75" s="407"/>
      <c r="D75" s="407"/>
      <c r="E75" s="407"/>
      <c r="F75" s="407"/>
      <c r="G75" s="96"/>
      <c r="H75" s="453" t="s">
        <v>253</v>
      </c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H75" s="453"/>
      <c r="BI75" s="453"/>
      <c r="BJ75" s="453"/>
      <c r="BK75" s="453"/>
      <c r="BL75" s="453"/>
      <c r="BM75" s="453"/>
      <c r="BN75" s="453"/>
      <c r="BO75" s="453"/>
      <c r="BP75" s="453"/>
      <c r="BQ75" s="453"/>
      <c r="BR75" s="453"/>
      <c r="BS75" s="453"/>
      <c r="BT75" s="453"/>
      <c r="BU75" s="453"/>
      <c r="BV75" s="454"/>
      <c r="BW75" s="409"/>
      <c r="BX75" s="409"/>
      <c r="BY75" s="409"/>
      <c r="BZ75" s="409"/>
      <c r="CA75" s="409"/>
      <c r="CB75" s="409"/>
      <c r="CC75" s="409"/>
      <c r="CD75" s="409"/>
      <c r="CE75" s="409"/>
      <c r="CF75" s="409"/>
      <c r="CG75" s="409"/>
      <c r="CH75" s="409"/>
      <c r="CI75" s="409"/>
      <c r="CJ75" s="409"/>
      <c r="CK75" s="409"/>
      <c r="CL75" s="409"/>
      <c r="CM75" s="409"/>
      <c r="CN75" s="409"/>
      <c r="CO75" s="409"/>
      <c r="CP75" s="409"/>
      <c r="CQ75" s="409"/>
      <c r="CR75" s="409"/>
      <c r="CS75" s="409"/>
      <c r="CT75" s="409"/>
      <c r="CU75" s="409"/>
      <c r="CV75" s="409"/>
      <c r="CW75" s="409"/>
      <c r="CX75" s="409"/>
      <c r="CY75" s="409"/>
      <c r="CZ75" s="409"/>
      <c r="DA75" s="409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</row>
    <row r="76" spans="1:162" s="83" customFormat="1" ht="24.75" customHeight="1">
      <c r="A76" s="407" t="s">
        <v>254</v>
      </c>
      <c r="B76" s="407"/>
      <c r="C76" s="407"/>
      <c r="D76" s="407"/>
      <c r="E76" s="407"/>
      <c r="F76" s="407"/>
      <c r="G76" s="96"/>
      <c r="H76" s="453" t="s">
        <v>255</v>
      </c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/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/>
      <c r="BE76" s="453"/>
      <c r="BF76" s="453"/>
      <c r="BG76" s="453"/>
      <c r="BH76" s="453"/>
      <c r="BI76" s="453"/>
      <c r="BJ76" s="453"/>
      <c r="BK76" s="453"/>
      <c r="BL76" s="453"/>
      <c r="BM76" s="453"/>
      <c r="BN76" s="453"/>
      <c r="BO76" s="453"/>
      <c r="BP76" s="453"/>
      <c r="BQ76" s="453"/>
      <c r="BR76" s="453"/>
      <c r="BS76" s="453"/>
      <c r="BT76" s="453"/>
      <c r="BU76" s="453"/>
      <c r="BV76" s="454"/>
      <c r="BW76" s="409"/>
      <c r="BX76" s="409"/>
      <c r="BY76" s="409"/>
      <c r="BZ76" s="409"/>
      <c r="CA76" s="409"/>
      <c r="CB76" s="409"/>
      <c r="CC76" s="409"/>
      <c r="CD76" s="409"/>
      <c r="CE76" s="409"/>
      <c r="CF76" s="409"/>
      <c r="CG76" s="409"/>
      <c r="CH76" s="409"/>
      <c r="CI76" s="409"/>
      <c r="CJ76" s="409"/>
      <c r="CK76" s="409"/>
      <c r="CL76" s="409"/>
      <c r="CM76" s="409"/>
      <c r="CN76" s="409"/>
      <c r="CO76" s="409"/>
      <c r="CP76" s="409"/>
      <c r="CQ76" s="409"/>
      <c r="CR76" s="409"/>
      <c r="CS76" s="409"/>
      <c r="CT76" s="409"/>
      <c r="CU76" s="409"/>
      <c r="CV76" s="409"/>
      <c r="CW76" s="409"/>
      <c r="CX76" s="409"/>
      <c r="CY76" s="409"/>
      <c r="CZ76" s="409"/>
      <c r="DA76" s="409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</row>
    <row r="77" spans="1:162" s="84" customFormat="1" ht="26.25" customHeight="1">
      <c r="A77" s="407" t="s">
        <v>37</v>
      </c>
      <c r="B77" s="407"/>
      <c r="C77" s="407"/>
      <c r="D77" s="407"/>
      <c r="E77" s="407"/>
      <c r="F77" s="407"/>
      <c r="G77" s="96"/>
      <c r="H77" s="435" t="s">
        <v>256</v>
      </c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435"/>
      <c r="BJ77" s="435"/>
      <c r="BK77" s="435"/>
      <c r="BL77" s="435"/>
      <c r="BM77" s="435"/>
      <c r="BN77" s="435"/>
      <c r="BO77" s="435"/>
      <c r="BP77" s="435"/>
      <c r="BQ77" s="435"/>
      <c r="BR77" s="435"/>
      <c r="BS77" s="435"/>
      <c r="BT77" s="435"/>
      <c r="BU77" s="435"/>
      <c r="BV77" s="436"/>
      <c r="BW77" s="409" t="s">
        <v>234</v>
      </c>
      <c r="BX77" s="409"/>
      <c r="BY77" s="409"/>
      <c r="BZ77" s="409"/>
      <c r="CA77" s="409"/>
      <c r="CB77" s="409"/>
      <c r="CC77" s="409"/>
      <c r="CD77" s="409"/>
      <c r="CE77" s="409"/>
      <c r="CF77" s="409"/>
      <c r="CG77" s="409"/>
      <c r="CH77" s="409"/>
      <c r="CI77" s="409"/>
      <c r="CJ77" s="409"/>
      <c r="CK77" s="409"/>
      <c r="CL77" s="409"/>
      <c r="CM77" s="409"/>
      <c r="CN77" s="409"/>
      <c r="CO77" s="409"/>
      <c r="CP77" s="409"/>
      <c r="CQ77" s="409"/>
      <c r="CR77" s="409"/>
      <c r="CS77" s="409"/>
      <c r="CT77" s="409"/>
      <c r="CU77" s="409"/>
      <c r="CV77" s="409"/>
      <c r="CW77" s="409"/>
      <c r="CX77" s="409"/>
      <c r="CY77" s="409"/>
      <c r="CZ77" s="409"/>
      <c r="DA77" s="409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</row>
    <row r="78" spans="1:162" s="84" customFormat="1" ht="15" customHeight="1">
      <c r="A78" s="455" t="s">
        <v>257</v>
      </c>
      <c r="B78" s="456"/>
      <c r="C78" s="456"/>
      <c r="D78" s="456"/>
      <c r="E78" s="456"/>
      <c r="F78" s="457"/>
      <c r="G78" s="97"/>
      <c r="H78" s="461" t="s">
        <v>6</v>
      </c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1"/>
      <c r="BG78" s="461"/>
      <c r="BH78" s="461"/>
      <c r="BI78" s="461"/>
      <c r="BJ78" s="461"/>
      <c r="BK78" s="461"/>
      <c r="BL78" s="461"/>
      <c r="BM78" s="461"/>
      <c r="BN78" s="461"/>
      <c r="BO78" s="461"/>
      <c r="BP78" s="461"/>
      <c r="BQ78" s="461"/>
      <c r="BR78" s="461"/>
      <c r="BS78" s="461"/>
      <c r="BT78" s="461"/>
      <c r="BU78" s="461"/>
      <c r="BV78" s="462"/>
      <c r="BW78" s="472">
        <v>135000000</v>
      </c>
      <c r="BX78" s="473"/>
      <c r="BY78" s="473"/>
      <c r="BZ78" s="473"/>
      <c r="CA78" s="473"/>
      <c r="CB78" s="473"/>
      <c r="CC78" s="473"/>
      <c r="CD78" s="473"/>
      <c r="CE78" s="473"/>
      <c r="CF78" s="473"/>
      <c r="CG78" s="473"/>
      <c r="CH78" s="473"/>
      <c r="CI78" s="473"/>
      <c r="CJ78" s="473"/>
      <c r="CK78" s="473"/>
      <c r="CL78" s="474"/>
      <c r="CM78" s="472">
        <f>BW78*2.9%</f>
        <v>3915000</v>
      </c>
      <c r="CN78" s="494"/>
      <c r="CO78" s="494"/>
      <c r="CP78" s="494"/>
      <c r="CQ78" s="494"/>
      <c r="CR78" s="494"/>
      <c r="CS78" s="494"/>
      <c r="CT78" s="494"/>
      <c r="CU78" s="494"/>
      <c r="CV78" s="494"/>
      <c r="CW78" s="494"/>
      <c r="CX78" s="494"/>
      <c r="CY78" s="494"/>
      <c r="CZ78" s="494"/>
      <c r="DA78" s="495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</row>
    <row r="79" spans="1:162" s="84" customFormat="1" ht="34.5" customHeight="1">
      <c r="A79" s="458"/>
      <c r="B79" s="459"/>
      <c r="C79" s="459"/>
      <c r="D79" s="459"/>
      <c r="E79" s="459"/>
      <c r="F79" s="460"/>
      <c r="G79" s="98"/>
      <c r="H79" s="469" t="s">
        <v>258</v>
      </c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/>
      <c r="BN79" s="469"/>
      <c r="BO79" s="469"/>
      <c r="BP79" s="469"/>
      <c r="BQ79" s="469"/>
      <c r="BR79" s="469"/>
      <c r="BS79" s="469"/>
      <c r="BT79" s="469"/>
      <c r="BU79" s="469"/>
      <c r="BV79" s="470"/>
      <c r="BW79" s="491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3"/>
      <c r="CM79" s="496"/>
      <c r="CN79" s="497"/>
      <c r="CO79" s="497"/>
      <c r="CP79" s="497"/>
      <c r="CQ79" s="497"/>
      <c r="CR79" s="497"/>
      <c r="CS79" s="497"/>
      <c r="CT79" s="497"/>
      <c r="CU79" s="497"/>
      <c r="CV79" s="497"/>
      <c r="CW79" s="497"/>
      <c r="CX79" s="497"/>
      <c r="CY79" s="497"/>
      <c r="CZ79" s="497"/>
      <c r="DA79" s="498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</row>
    <row r="80" spans="1:105" s="86" customFormat="1" ht="29.25" customHeight="1">
      <c r="A80" s="407" t="s">
        <v>259</v>
      </c>
      <c r="B80" s="407"/>
      <c r="C80" s="407"/>
      <c r="D80" s="407"/>
      <c r="E80" s="407"/>
      <c r="F80" s="407"/>
      <c r="G80" s="96"/>
      <c r="H80" s="453" t="s">
        <v>260</v>
      </c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3"/>
      <c r="AC80" s="453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  <c r="AS80" s="453"/>
      <c r="AT80" s="453"/>
      <c r="AU80" s="453"/>
      <c r="AV80" s="453"/>
      <c r="AW80" s="453"/>
      <c r="AX80" s="453"/>
      <c r="AY80" s="453"/>
      <c r="AZ80" s="453"/>
      <c r="BA80" s="453"/>
      <c r="BB80" s="453"/>
      <c r="BC80" s="453"/>
      <c r="BD80" s="453"/>
      <c r="BE80" s="453"/>
      <c r="BF80" s="453"/>
      <c r="BG80" s="453"/>
      <c r="BH80" s="453"/>
      <c r="BI80" s="453"/>
      <c r="BJ80" s="453"/>
      <c r="BK80" s="453"/>
      <c r="BL80" s="453"/>
      <c r="BM80" s="453"/>
      <c r="BN80" s="453"/>
      <c r="BO80" s="453"/>
      <c r="BP80" s="453"/>
      <c r="BQ80" s="453"/>
      <c r="BR80" s="453"/>
      <c r="BS80" s="453"/>
      <c r="BT80" s="453"/>
      <c r="BU80" s="453"/>
      <c r="BV80" s="454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</row>
    <row r="81" spans="1:162" s="80" customFormat="1" ht="35.25" customHeight="1">
      <c r="A81" s="407" t="s">
        <v>261</v>
      </c>
      <c r="B81" s="407"/>
      <c r="C81" s="407"/>
      <c r="D81" s="407"/>
      <c r="E81" s="407"/>
      <c r="F81" s="407"/>
      <c r="G81" s="96"/>
      <c r="H81" s="453" t="s">
        <v>262</v>
      </c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453"/>
      <c r="AO81" s="453"/>
      <c r="AP81" s="453"/>
      <c r="AQ81" s="453"/>
      <c r="AR81" s="453"/>
      <c r="AS81" s="453"/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/>
      <c r="BE81" s="453"/>
      <c r="BF81" s="453"/>
      <c r="BG81" s="453"/>
      <c r="BH81" s="453"/>
      <c r="BI81" s="453"/>
      <c r="BJ81" s="453"/>
      <c r="BK81" s="453"/>
      <c r="BL81" s="453"/>
      <c r="BM81" s="453"/>
      <c r="BN81" s="453"/>
      <c r="BO81" s="453"/>
      <c r="BP81" s="453"/>
      <c r="BQ81" s="453"/>
      <c r="BR81" s="453"/>
      <c r="BS81" s="453"/>
      <c r="BT81" s="453"/>
      <c r="BU81" s="453"/>
      <c r="BV81" s="454"/>
      <c r="BW81" s="409"/>
      <c r="BX81" s="409"/>
      <c r="BY81" s="409"/>
      <c r="BZ81" s="409"/>
      <c r="CA81" s="409"/>
      <c r="CB81" s="409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09"/>
      <c r="DA81" s="409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</row>
    <row r="82" spans="1:162" ht="24.75" customHeight="1">
      <c r="A82" s="407" t="s">
        <v>263</v>
      </c>
      <c r="B82" s="407"/>
      <c r="C82" s="407"/>
      <c r="D82" s="407"/>
      <c r="E82" s="407"/>
      <c r="F82" s="407"/>
      <c r="G82" s="96"/>
      <c r="H82" s="453" t="s">
        <v>352</v>
      </c>
      <c r="I82" s="453"/>
      <c r="J82" s="453"/>
      <c r="K82" s="453"/>
      <c r="L82" s="453"/>
      <c r="M82" s="453"/>
      <c r="N82" s="453"/>
      <c r="O82" s="453"/>
      <c r="P82" s="453"/>
      <c r="Q82" s="453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3"/>
      <c r="AC82" s="453"/>
      <c r="AD82" s="453"/>
      <c r="AE82" s="453"/>
      <c r="AF82" s="453"/>
      <c r="AG82" s="453"/>
      <c r="AH82" s="453"/>
      <c r="AI82" s="453"/>
      <c r="AJ82" s="453"/>
      <c r="AK82" s="453"/>
      <c r="AL82" s="453"/>
      <c r="AM82" s="453"/>
      <c r="AN82" s="453"/>
      <c r="AO82" s="453"/>
      <c r="AP82" s="453"/>
      <c r="AQ82" s="453"/>
      <c r="AR82" s="453"/>
      <c r="AS82" s="453"/>
      <c r="AT82" s="453"/>
      <c r="AU82" s="453"/>
      <c r="AV82" s="453"/>
      <c r="AW82" s="453"/>
      <c r="AX82" s="453"/>
      <c r="AY82" s="453"/>
      <c r="AZ82" s="453"/>
      <c r="BA82" s="453"/>
      <c r="BB82" s="453"/>
      <c r="BC82" s="453"/>
      <c r="BD82" s="453"/>
      <c r="BE82" s="453"/>
      <c r="BF82" s="453"/>
      <c r="BG82" s="453"/>
      <c r="BH82" s="453"/>
      <c r="BI82" s="453"/>
      <c r="BJ82" s="453"/>
      <c r="BK82" s="453"/>
      <c r="BL82" s="453"/>
      <c r="BM82" s="453"/>
      <c r="BN82" s="453"/>
      <c r="BO82" s="453"/>
      <c r="BP82" s="453"/>
      <c r="BQ82" s="453"/>
      <c r="BR82" s="453"/>
      <c r="BS82" s="453"/>
      <c r="BT82" s="453"/>
      <c r="BU82" s="453"/>
      <c r="BV82" s="454"/>
      <c r="BW82" s="472">
        <v>135000000</v>
      </c>
      <c r="BX82" s="473"/>
      <c r="BY82" s="473"/>
      <c r="BZ82" s="473"/>
      <c r="CA82" s="473"/>
      <c r="CB82" s="473"/>
      <c r="CC82" s="473"/>
      <c r="CD82" s="473"/>
      <c r="CE82" s="473"/>
      <c r="CF82" s="473"/>
      <c r="CG82" s="473"/>
      <c r="CH82" s="473"/>
      <c r="CI82" s="473"/>
      <c r="CJ82" s="473"/>
      <c r="CK82" s="473"/>
      <c r="CL82" s="474"/>
      <c r="CM82" s="472">
        <f>BW82*0.2%</f>
        <v>270000</v>
      </c>
      <c r="CN82" s="473"/>
      <c r="CO82" s="473"/>
      <c r="CP82" s="473"/>
      <c r="CQ82" s="473"/>
      <c r="CR82" s="473"/>
      <c r="CS82" s="473"/>
      <c r="CT82" s="473"/>
      <c r="CU82" s="473"/>
      <c r="CV82" s="473"/>
      <c r="CW82" s="473"/>
      <c r="CX82" s="473"/>
      <c r="CY82" s="473"/>
      <c r="CZ82" s="473"/>
      <c r="DA82" s="473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</row>
    <row r="83" spans="1:162" s="80" customFormat="1" ht="33" customHeight="1">
      <c r="A83" s="407" t="s">
        <v>265</v>
      </c>
      <c r="B83" s="407"/>
      <c r="C83" s="407"/>
      <c r="D83" s="407"/>
      <c r="E83" s="407"/>
      <c r="F83" s="407"/>
      <c r="G83" s="96"/>
      <c r="H83" s="453" t="s">
        <v>264</v>
      </c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3"/>
      <c r="AC83" s="453"/>
      <c r="AD83" s="453"/>
      <c r="AE83" s="453"/>
      <c r="AF83" s="453"/>
      <c r="AG83" s="453"/>
      <c r="AH83" s="453"/>
      <c r="AI83" s="453"/>
      <c r="AJ83" s="453"/>
      <c r="AK83" s="453"/>
      <c r="AL83" s="453"/>
      <c r="AM83" s="453"/>
      <c r="AN83" s="453"/>
      <c r="AO83" s="453"/>
      <c r="AP83" s="453"/>
      <c r="AQ83" s="453"/>
      <c r="AR83" s="453"/>
      <c r="AS83" s="453"/>
      <c r="AT83" s="453"/>
      <c r="AU83" s="453"/>
      <c r="AV83" s="453"/>
      <c r="AW83" s="453"/>
      <c r="AX83" s="453"/>
      <c r="AY83" s="453"/>
      <c r="AZ83" s="453"/>
      <c r="BA83" s="453"/>
      <c r="BB83" s="453"/>
      <c r="BC83" s="453"/>
      <c r="BD83" s="453"/>
      <c r="BE83" s="453"/>
      <c r="BF83" s="453"/>
      <c r="BG83" s="453"/>
      <c r="BH83" s="453"/>
      <c r="BI83" s="453"/>
      <c r="BJ83" s="453"/>
      <c r="BK83" s="453"/>
      <c r="BL83" s="453"/>
      <c r="BM83" s="453"/>
      <c r="BN83" s="453"/>
      <c r="BO83" s="453"/>
      <c r="BP83" s="453"/>
      <c r="BQ83" s="453"/>
      <c r="BR83" s="453"/>
      <c r="BS83" s="453"/>
      <c r="BT83" s="453"/>
      <c r="BU83" s="453"/>
      <c r="BV83" s="454"/>
      <c r="BW83" s="409"/>
      <c r="BX83" s="409"/>
      <c r="BY83" s="409"/>
      <c r="BZ83" s="409"/>
      <c r="CA83" s="409"/>
      <c r="CB83" s="409"/>
      <c r="CC83" s="409"/>
      <c r="CD83" s="409"/>
      <c r="CE83" s="409"/>
      <c r="CF83" s="409"/>
      <c r="CG83" s="409"/>
      <c r="CH83" s="409"/>
      <c r="CI83" s="409"/>
      <c r="CJ83" s="409"/>
      <c r="CK83" s="409"/>
      <c r="CL83" s="409"/>
      <c r="CM83" s="409"/>
      <c r="CN83" s="409"/>
      <c r="CO83" s="409"/>
      <c r="CP83" s="409"/>
      <c r="CQ83" s="409"/>
      <c r="CR83" s="409"/>
      <c r="CS83" s="409"/>
      <c r="CT83" s="409"/>
      <c r="CU83" s="409"/>
      <c r="CV83" s="409"/>
      <c r="CW83" s="409"/>
      <c r="CX83" s="409"/>
      <c r="CY83" s="409"/>
      <c r="CZ83" s="409"/>
      <c r="DA83" s="409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</row>
    <row r="84" spans="1:162" s="80" customFormat="1" ht="31.5" customHeight="1">
      <c r="A84" s="407" t="s">
        <v>38</v>
      </c>
      <c r="B84" s="407"/>
      <c r="C84" s="407"/>
      <c r="D84" s="407"/>
      <c r="E84" s="407"/>
      <c r="F84" s="407"/>
      <c r="G84" s="96"/>
      <c r="H84" s="435" t="s">
        <v>266</v>
      </c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5"/>
      <c r="AJ84" s="435"/>
      <c r="AK84" s="435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  <c r="AW84" s="435"/>
      <c r="AX84" s="435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  <c r="BL84" s="435"/>
      <c r="BM84" s="435"/>
      <c r="BN84" s="435"/>
      <c r="BO84" s="435"/>
      <c r="BP84" s="435"/>
      <c r="BQ84" s="435"/>
      <c r="BR84" s="435"/>
      <c r="BS84" s="435"/>
      <c r="BT84" s="435"/>
      <c r="BU84" s="435"/>
      <c r="BV84" s="436"/>
      <c r="BW84" s="472">
        <v>135000000</v>
      </c>
      <c r="BX84" s="473"/>
      <c r="BY84" s="473"/>
      <c r="BZ84" s="473"/>
      <c r="CA84" s="473"/>
      <c r="CB84" s="473"/>
      <c r="CC84" s="473"/>
      <c r="CD84" s="473"/>
      <c r="CE84" s="473"/>
      <c r="CF84" s="473"/>
      <c r="CG84" s="473"/>
      <c r="CH84" s="473"/>
      <c r="CI84" s="473"/>
      <c r="CJ84" s="473"/>
      <c r="CK84" s="473"/>
      <c r="CL84" s="474"/>
      <c r="CM84" s="472">
        <f>BW84*5.1%</f>
        <v>6885000</v>
      </c>
      <c r="CN84" s="473"/>
      <c r="CO84" s="473"/>
      <c r="CP84" s="473"/>
      <c r="CQ84" s="473"/>
      <c r="CR84" s="473"/>
      <c r="CS84" s="473"/>
      <c r="CT84" s="473"/>
      <c r="CU84" s="473"/>
      <c r="CV84" s="473"/>
      <c r="CW84" s="473"/>
      <c r="CX84" s="473"/>
      <c r="CY84" s="473"/>
      <c r="CZ84" s="473"/>
      <c r="DA84" s="473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</row>
    <row r="85" spans="1:162" s="80" customFormat="1" ht="28.5" customHeight="1">
      <c r="A85" s="407"/>
      <c r="B85" s="407"/>
      <c r="C85" s="407"/>
      <c r="D85" s="407"/>
      <c r="E85" s="407"/>
      <c r="F85" s="407"/>
      <c r="G85" s="443" t="s">
        <v>233</v>
      </c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8"/>
      <c r="BW85" s="409" t="s">
        <v>234</v>
      </c>
      <c r="BX85" s="409"/>
      <c r="BY85" s="409"/>
      <c r="BZ85" s="409"/>
      <c r="CA85" s="409"/>
      <c r="CB85" s="409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90">
        <f>SUM(CM73:CM84)</f>
        <v>40770000</v>
      </c>
      <c r="CN85" s="413"/>
      <c r="CO85" s="413"/>
      <c r="CP85" s="413"/>
      <c r="CQ85" s="413"/>
      <c r="CR85" s="413"/>
      <c r="CS85" s="413"/>
      <c r="CT85" s="413"/>
      <c r="CU85" s="413"/>
      <c r="CV85" s="413"/>
      <c r="CW85" s="413"/>
      <c r="CX85" s="413"/>
      <c r="CY85" s="413"/>
      <c r="CZ85" s="413"/>
      <c r="DA85" s="413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</row>
    <row r="86" ht="10.5" customHeight="1"/>
    <row r="87" spans="1:105" s="80" customFormat="1" ht="14.25">
      <c r="A87" s="199" t="s">
        <v>524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</row>
    <row r="88" ht="6" customHeight="1"/>
    <row r="89" spans="1:105" s="80" customFormat="1" ht="14.25">
      <c r="A89" s="80" t="s">
        <v>221</v>
      </c>
      <c r="X89" s="430" t="s">
        <v>124</v>
      </c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430"/>
      <c r="AL89" s="430"/>
      <c r="AM89" s="430"/>
      <c r="AN89" s="430"/>
      <c r="AO89" s="430"/>
      <c r="AP89" s="430"/>
      <c r="AQ89" s="430"/>
      <c r="AR89" s="430"/>
      <c r="AS89" s="430"/>
      <c r="AT89" s="430"/>
      <c r="AU89" s="430"/>
      <c r="AV89" s="430"/>
      <c r="AW89" s="430"/>
      <c r="AX89" s="430"/>
      <c r="AY89" s="430"/>
      <c r="AZ89" s="430"/>
      <c r="BA89" s="430"/>
      <c r="BB89" s="430"/>
      <c r="BC89" s="430"/>
      <c r="BD89" s="430"/>
      <c r="BE89" s="430"/>
      <c r="BF89" s="430"/>
      <c r="BG89" s="430"/>
      <c r="BH89" s="430"/>
      <c r="BI89" s="430"/>
      <c r="BJ89" s="430"/>
      <c r="BK89" s="430"/>
      <c r="BL89" s="430"/>
      <c r="BM89" s="430"/>
      <c r="BN89" s="430"/>
      <c r="BO89" s="430"/>
      <c r="BP89" s="430"/>
      <c r="BQ89" s="430"/>
      <c r="BR89" s="430"/>
      <c r="BS89" s="430"/>
      <c r="BT89" s="430"/>
      <c r="BU89" s="430"/>
      <c r="BV89" s="430"/>
      <c r="BW89" s="430"/>
      <c r="BX89" s="430"/>
      <c r="BY89" s="430"/>
      <c r="BZ89" s="430"/>
      <c r="CA89" s="430"/>
      <c r="CB89" s="430"/>
      <c r="CC89" s="430"/>
      <c r="CD89" s="430"/>
      <c r="CE89" s="430"/>
      <c r="CF89" s="430"/>
      <c r="CG89" s="430"/>
      <c r="CH89" s="430"/>
      <c r="CI89" s="430"/>
      <c r="CJ89" s="430"/>
      <c r="CK89" s="430"/>
      <c r="CL89" s="430"/>
      <c r="CM89" s="430"/>
      <c r="CN89" s="430"/>
      <c r="CO89" s="430"/>
      <c r="CP89" s="430"/>
      <c r="CQ89" s="430"/>
      <c r="CR89" s="430"/>
      <c r="CS89" s="430"/>
      <c r="CT89" s="430"/>
      <c r="CU89" s="430"/>
      <c r="CV89" s="430"/>
      <c r="CW89" s="430"/>
      <c r="CX89" s="430"/>
      <c r="CY89" s="430"/>
      <c r="CZ89" s="430"/>
      <c r="DA89" s="430"/>
    </row>
    <row r="90" spans="24:105" s="80" customFormat="1" ht="6" customHeight="1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</row>
    <row r="91" spans="1:105" s="80" customFormat="1" ht="14.25">
      <c r="A91" s="431" t="s">
        <v>222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47" t="s">
        <v>518</v>
      </c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</row>
    <row r="92" ht="10.5" customHeight="1"/>
    <row r="93" spans="1:105" s="82" customFormat="1" ht="45" customHeight="1">
      <c r="A93" s="419" t="s">
        <v>192</v>
      </c>
      <c r="B93" s="420"/>
      <c r="C93" s="420"/>
      <c r="D93" s="420"/>
      <c r="E93" s="420"/>
      <c r="F93" s="420"/>
      <c r="G93" s="421"/>
      <c r="H93" s="201" t="s">
        <v>273</v>
      </c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3"/>
      <c r="BD93" s="419" t="s">
        <v>274</v>
      </c>
      <c r="BE93" s="420"/>
      <c r="BF93" s="420"/>
      <c r="BG93" s="420"/>
      <c r="BH93" s="420"/>
      <c r="BI93" s="420"/>
      <c r="BJ93" s="420"/>
      <c r="BK93" s="420"/>
      <c r="BL93" s="420"/>
      <c r="BM93" s="420"/>
      <c r="BN93" s="420"/>
      <c r="BO93" s="420"/>
      <c r="BP93" s="420"/>
      <c r="BQ93" s="420"/>
      <c r="BR93" s="420"/>
      <c r="BS93" s="421"/>
      <c r="BT93" s="419" t="s">
        <v>275</v>
      </c>
      <c r="BU93" s="420"/>
      <c r="BV93" s="420"/>
      <c r="BW93" s="420"/>
      <c r="BX93" s="420"/>
      <c r="BY93" s="420"/>
      <c r="BZ93" s="420"/>
      <c r="CA93" s="420"/>
      <c r="CB93" s="420"/>
      <c r="CC93" s="420"/>
      <c r="CD93" s="421"/>
      <c r="CE93" s="419" t="s">
        <v>276</v>
      </c>
      <c r="CF93" s="420"/>
      <c r="CG93" s="420"/>
      <c r="CH93" s="420"/>
      <c r="CI93" s="420"/>
      <c r="CJ93" s="420"/>
      <c r="CK93" s="420"/>
      <c r="CL93" s="420"/>
      <c r="CM93" s="420"/>
      <c r="CN93" s="420"/>
      <c r="CO93" s="420"/>
      <c r="CP93" s="420"/>
      <c r="CQ93" s="420"/>
      <c r="CR93" s="420"/>
      <c r="CS93" s="420"/>
      <c r="CT93" s="420"/>
      <c r="CU93" s="420"/>
      <c r="CV93" s="420"/>
      <c r="CW93" s="420"/>
      <c r="CX93" s="420"/>
      <c r="CY93" s="420"/>
      <c r="CZ93" s="420"/>
      <c r="DA93" s="421"/>
    </row>
    <row r="94" spans="1:105" s="83" customFormat="1" ht="12.75">
      <c r="A94" s="416">
        <v>1</v>
      </c>
      <c r="B94" s="416"/>
      <c r="C94" s="416"/>
      <c r="D94" s="416"/>
      <c r="E94" s="416"/>
      <c r="F94" s="416"/>
      <c r="G94" s="416"/>
      <c r="H94" s="196">
        <v>2</v>
      </c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8"/>
      <c r="BD94" s="416">
        <v>3</v>
      </c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>
        <v>4</v>
      </c>
      <c r="BU94" s="416"/>
      <c r="BV94" s="416"/>
      <c r="BW94" s="416"/>
      <c r="BX94" s="416"/>
      <c r="BY94" s="416"/>
      <c r="BZ94" s="416"/>
      <c r="CA94" s="416"/>
      <c r="CB94" s="416"/>
      <c r="CC94" s="416"/>
      <c r="CD94" s="416"/>
      <c r="CE94" s="416">
        <v>5</v>
      </c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6"/>
      <c r="CX94" s="416"/>
      <c r="CY94" s="416"/>
      <c r="CZ94" s="416"/>
      <c r="DA94" s="416"/>
    </row>
    <row r="95" spans="1:105" s="84" customFormat="1" ht="15" customHeight="1">
      <c r="A95" s="407" t="s">
        <v>169</v>
      </c>
      <c r="B95" s="407"/>
      <c r="C95" s="407"/>
      <c r="D95" s="407"/>
      <c r="E95" s="407"/>
      <c r="F95" s="407"/>
      <c r="G95" s="407"/>
      <c r="H95" s="408" t="s">
        <v>354</v>
      </c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/>
      <c r="BN95" s="409"/>
      <c r="BO95" s="409"/>
      <c r="BP95" s="409"/>
      <c r="BQ95" s="409"/>
      <c r="BR95" s="409"/>
      <c r="BS95" s="409"/>
      <c r="BT95" s="409"/>
      <c r="BU95" s="409"/>
      <c r="BV95" s="409"/>
      <c r="BW95" s="409"/>
      <c r="BX95" s="409"/>
      <c r="BY95" s="409"/>
      <c r="BZ95" s="409"/>
      <c r="CA95" s="409"/>
      <c r="CB95" s="409"/>
      <c r="CC95" s="409"/>
      <c r="CD95" s="409"/>
      <c r="CE95" s="471">
        <v>80000</v>
      </c>
      <c r="CF95" s="471"/>
      <c r="CG95" s="471"/>
      <c r="CH95" s="471"/>
      <c r="CI95" s="471"/>
      <c r="CJ95" s="471"/>
      <c r="CK95" s="471"/>
      <c r="CL95" s="471"/>
      <c r="CM95" s="471"/>
      <c r="CN95" s="471"/>
      <c r="CO95" s="471"/>
      <c r="CP95" s="471"/>
      <c r="CQ95" s="471"/>
      <c r="CR95" s="471"/>
      <c r="CS95" s="471"/>
      <c r="CT95" s="471"/>
      <c r="CU95" s="471"/>
      <c r="CV95" s="471"/>
      <c r="CW95" s="471"/>
      <c r="CX95" s="471"/>
      <c r="CY95" s="471"/>
      <c r="CZ95" s="471"/>
      <c r="DA95" s="471"/>
    </row>
    <row r="96" spans="1:105" s="84" customFormat="1" ht="15" customHeight="1">
      <c r="A96" s="407" t="s">
        <v>37</v>
      </c>
      <c r="B96" s="407"/>
      <c r="C96" s="407"/>
      <c r="D96" s="407"/>
      <c r="E96" s="407"/>
      <c r="F96" s="407"/>
      <c r="G96" s="407"/>
      <c r="H96" s="434" t="s">
        <v>358</v>
      </c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6"/>
      <c r="BD96" s="471">
        <v>2272727.27</v>
      </c>
      <c r="BE96" s="471"/>
      <c r="BF96" s="471"/>
      <c r="BG96" s="471"/>
      <c r="BH96" s="471"/>
      <c r="BI96" s="471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409">
        <v>2.2</v>
      </c>
      <c r="BU96" s="409"/>
      <c r="BV96" s="409"/>
      <c r="BW96" s="409"/>
      <c r="BX96" s="409"/>
      <c r="BY96" s="409"/>
      <c r="BZ96" s="409"/>
      <c r="CA96" s="409"/>
      <c r="CB96" s="409"/>
      <c r="CC96" s="409"/>
      <c r="CD96" s="409"/>
      <c r="CE96" s="471">
        <f>BD96*BT96%</f>
        <v>50000</v>
      </c>
      <c r="CF96" s="471"/>
      <c r="CG96" s="471"/>
      <c r="CH96" s="471"/>
      <c r="CI96" s="471"/>
      <c r="CJ96" s="471"/>
      <c r="CK96" s="471"/>
      <c r="CL96" s="471"/>
      <c r="CM96" s="471"/>
      <c r="CN96" s="471"/>
      <c r="CO96" s="471"/>
      <c r="CP96" s="471"/>
      <c r="CQ96" s="471"/>
      <c r="CR96" s="471"/>
      <c r="CS96" s="471"/>
      <c r="CT96" s="471"/>
      <c r="CU96" s="471"/>
      <c r="CV96" s="471"/>
      <c r="CW96" s="471"/>
      <c r="CX96" s="471"/>
      <c r="CY96" s="471"/>
      <c r="CZ96" s="471"/>
      <c r="DA96" s="471"/>
    </row>
    <row r="97" spans="1:105" s="84" customFormat="1" ht="15" customHeight="1">
      <c r="A97" s="407" t="s">
        <v>38</v>
      </c>
      <c r="B97" s="407"/>
      <c r="C97" s="407"/>
      <c r="D97" s="407"/>
      <c r="E97" s="407"/>
      <c r="F97" s="407"/>
      <c r="G97" s="407"/>
      <c r="H97" s="434" t="s">
        <v>525</v>
      </c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6"/>
      <c r="BD97" s="471"/>
      <c r="BE97" s="471"/>
      <c r="BF97" s="471"/>
      <c r="BG97" s="471"/>
      <c r="BH97" s="471"/>
      <c r="BI97" s="471"/>
      <c r="BJ97" s="471"/>
      <c r="BK97" s="471"/>
      <c r="BL97" s="471"/>
      <c r="BM97" s="471"/>
      <c r="BN97" s="471"/>
      <c r="BO97" s="471"/>
      <c r="BP97" s="471"/>
      <c r="BQ97" s="471"/>
      <c r="BR97" s="471"/>
      <c r="BS97" s="471"/>
      <c r="BT97" s="409"/>
      <c r="BU97" s="409"/>
      <c r="BV97" s="409"/>
      <c r="BW97" s="409"/>
      <c r="BX97" s="409"/>
      <c r="BY97" s="409"/>
      <c r="BZ97" s="409"/>
      <c r="CA97" s="409"/>
      <c r="CB97" s="409"/>
      <c r="CC97" s="409"/>
      <c r="CD97" s="409"/>
      <c r="CE97" s="471">
        <f>400000+500000</f>
        <v>900000</v>
      </c>
      <c r="CF97" s="471"/>
      <c r="CG97" s="471"/>
      <c r="CH97" s="471"/>
      <c r="CI97" s="471"/>
      <c r="CJ97" s="471"/>
      <c r="CK97" s="471"/>
      <c r="CL97" s="471"/>
      <c r="CM97" s="471"/>
      <c r="CN97" s="471"/>
      <c r="CO97" s="471"/>
      <c r="CP97" s="471"/>
      <c r="CQ97" s="471"/>
      <c r="CR97" s="471"/>
      <c r="CS97" s="471"/>
      <c r="CT97" s="471"/>
      <c r="CU97" s="471"/>
      <c r="CV97" s="471"/>
      <c r="CW97" s="471"/>
      <c r="CX97" s="471"/>
      <c r="CY97" s="471"/>
      <c r="CZ97" s="471"/>
      <c r="DA97" s="471"/>
    </row>
    <row r="98" spans="1:105" s="84" customFormat="1" ht="15" customHeight="1">
      <c r="A98" s="407" t="s">
        <v>319</v>
      </c>
      <c r="B98" s="407"/>
      <c r="C98" s="407"/>
      <c r="D98" s="407"/>
      <c r="E98" s="407"/>
      <c r="F98" s="407"/>
      <c r="G98" s="407"/>
      <c r="H98" s="434" t="s">
        <v>526</v>
      </c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6"/>
      <c r="BD98" s="471"/>
      <c r="BE98" s="471"/>
      <c r="BF98" s="471"/>
      <c r="BG98" s="471"/>
      <c r="BH98" s="471"/>
      <c r="BI98" s="471"/>
      <c r="BJ98" s="471"/>
      <c r="BK98" s="471"/>
      <c r="BL98" s="471"/>
      <c r="BM98" s="471"/>
      <c r="BN98" s="471"/>
      <c r="BO98" s="471"/>
      <c r="BP98" s="471"/>
      <c r="BQ98" s="471"/>
      <c r="BR98" s="471"/>
      <c r="BS98" s="471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71">
        <v>200000</v>
      </c>
      <c r="CF98" s="471"/>
      <c r="CG98" s="471"/>
      <c r="CH98" s="471"/>
      <c r="CI98" s="471"/>
      <c r="CJ98" s="471"/>
      <c r="CK98" s="471"/>
      <c r="CL98" s="471"/>
      <c r="CM98" s="471"/>
      <c r="CN98" s="471"/>
      <c r="CO98" s="471"/>
      <c r="CP98" s="471"/>
      <c r="CQ98" s="471"/>
      <c r="CR98" s="471"/>
      <c r="CS98" s="471"/>
      <c r="CT98" s="471"/>
      <c r="CU98" s="471"/>
      <c r="CV98" s="471"/>
      <c r="CW98" s="471"/>
      <c r="CX98" s="471"/>
      <c r="CY98" s="471"/>
      <c r="CZ98" s="471"/>
      <c r="DA98" s="471"/>
    </row>
    <row r="99" spans="1:105" s="84" customFormat="1" ht="15" customHeight="1">
      <c r="A99" s="407" t="s">
        <v>320</v>
      </c>
      <c r="B99" s="407"/>
      <c r="C99" s="407"/>
      <c r="D99" s="407"/>
      <c r="E99" s="407"/>
      <c r="F99" s="407"/>
      <c r="G99" s="407"/>
      <c r="H99" s="434" t="s">
        <v>527</v>
      </c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6"/>
      <c r="BD99" s="471"/>
      <c r="BE99" s="471"/>
      <c r="BF99" s="471"/>
      <c r="BG99" s="471"/>
      <c r="BH99" s="471"/>
      <c r="BI99" s="471"/>
      <c r="BJ99" s="471"/>
      <c r="BK99" s="471"/>
      <c r="BL99" s="471"/>
      <c r="BM99" s="471"/>
      <c r="BN99" s="471"/>
      <c r="BO99" s="471"/>
      <c r="BP99" s="471"/>
      <c r="BQ99" s="471"/>
      <c r="BR99" s="471"/>
      <c r="BS99" s="471"/>
      <c r="BT99" s="409"/>
      <c r="BU99" s="409"/>
      <c r="BV99" s="409"/>
      <c r="BW99" s="409"/>
      <c r="BX99" s="409"/>
      <c r="BY99" s="409"/>
      <c r="BZ99" s="409"/>
      <c r="CA99" s="409"/>
      <c r="CB99" s="409"/>
      <c r="CC99" s="409"/>
      <c r="CD99" s="409"/>
      <c r="CE99" s="471">
        <v>200000</v>
      </c>
      <c r="CF99" s="471"/>
      <c r="CG99" s="471"/>
      <c r="CH99" s="471"/>
      <c r="CI99" s="471"/>
      <c r="CJ99" s="471"/>
      <c r="CK99" s="471"/>
      <c r="CL99" s="471"/>
      <c r="CM99" s="471"/>
      <c r="CN99" s="471"/>
      <c r="CO99" s="471"/>
      <c r="CP99" s="471"/>
      <c r="CQ99" s="471"/>
      <c r="CR99" s="471"/>
      <c r="CS99" s="471"/>
      <c r="CT99" s="471"/>
      <c r="CU99" s="471"/>
      <c r="CV99" s="471"/>
      <c r="CW99" s="471"/>
      <c r="CX99" s="471"/>
      <c r="CY99" s="471"/>
      <c r="CZ99" s="471"/>
      <c r="DA99" s="471"/>
    </row>
    <row r="100" spans="1:132" s="84" customFormat="1" ht="15" customHeight="1">
      <c r="A100" s="407" t="s">
        <v>321</v>
      </c>
      <c r="B100" s="407"/>
      <c r="C100" s="407"/>
      <c r="D100" s="407"/>
      <c r="E100" s="407"/>
      <c r="F100" s="407"/>
      <c r="G100" s="407"/>
      <c r="H100" s="434" t="s">
        <v>528</v>
      </c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6"/>
      <c r="BD100" s="471"/>
      <c r="BE100" s="471"/>
      <c r="BF100" s="471"/>
      <c r="BG100" s="471"/>
      <c r="BH100" s="471"/>
      <c r="BI100" s="471"/>
      <c r="BJ100" s="471"/>
      <c r="BK100" s="471"/>
      <c r="BL100" s="471"/>
      <c r="BM100" s="471"/>
      <c r="BN100" s="471"/>
      <c r="BO100" s="471"/>
      <c r="BP100" s="471"/>
      <c r="BQ100" s="471"/>
      <c r="BR100" s="471"/>
      <c r="BS100" s="471"/>
      <c r="BT100" s="409"/>
      <c r="BU100" s="409"/>
      <c r="BV100" s="409"/>
      <c r="BW100" s="409"/>
      <c r="BX100" s="409"/>
      <c r="BY100" s="409"/>
      <c r="BZ100" s="409"/>
      <c r="CA100" s="409"/>
      <c r="CB100" s="409"/>
      <c r="CC100" s="409"/>
      <c r="CD100" s="409"/>
      <c r="CE100" s="471">
        <v>200000</v>
      </c>
      <c r="CF100" s="471"/>
      <c r="CG100" s="471"/>
      <c r="CH100" s="471"/>
      <c r="CI100" s="471"/>
      <c r="CJ100" s="471"/>
      <c r="CK100" s="471"/>
      <c r="CL100" s="471"/>
      <c r="CM100" s="471"/>
      <c r="CN100" s="471"/>
      <c r="CO100" s="471"/>
      <c r="CP100" s="471"/>
      <c r="CQ100" s="471"/>
      <c r="CR100" s="471"/>
      <c r="CS100" s="471"/>
      <c r="CT100" s="471"/>
      <c r="CU100" s="471"/>
      <c r="CV100" s="471"/>
      <c r="CW100" s="471"/>
      <c r="CX100" s="471"/>
      <c r="CY100" s="471"/>
      <c r="CZ100" s="471"/>
      <c r="DA100" s="471"/>
      <c r="EB100" s="110"/>
    </row>
    <row r="101" spans="1:105" s="84" customFormat="1" ht="15" customHeight="1">
      <c r="A101" s="407"/>
      <c r="B101" s="407"/>
      <c r="C101" s="407"/>
      <c r="D101" s="407"/>
      <c r="E101" s="407"/>
      <c r="F101" s="407"/>
      <c r="G101" s="407"/>
      <c r="H101" s="443" t="s">
        <v>233</v>
      </c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8"/>
      <c r="BD101" s="409"/>
      <c r="BE101" s="409"/>
      <c r="BF101" s="409"/>
      <c r="BG101" s="409"/>
      <c r="BH101" s="409"/>
      <c r="BI101" s="409"/>
      <c r="BJ101" s="409"/>
      <c r="BK101" s="409"/>
      <c r="BL101" s="409"/>
      <c r="BM101" s="409"/>
      <c r="BN101" s="409"/>
      <c r="BO101" s="409"/>
      <c r="BP101" s="409"/>
      <c r="BQ101" s="409"/>
      <c r="BR101" s="409"/>
      <c r="BS101" s="409"/>
      <c r="BT101" s="409" t="s">
        <v>234</v>
      </c>
      <c r="BU101" s="409"/>
      <c r="BV101" s="409"/>
      <c r="BW101" s="409"/>
      <c r="BX101" s="409"/>
      <c r="BY101" s="409"/>
      <c r="BZ101" s="409"/>
      <c r="CA101" s="409"/>
      <c r="CB101" s="409"/>
      <c r="CC101" s="409"/>
      <c r="CD101" s="409"/>
      <c r="CE101" s="490">
        <f>SUM(CE95:CE100)</f>
        <v>1630000</v>
      </c>
      <c r="CF101" s="413"/>
      <c r="CG101" s="413"/>
      <c r="CH101" s="413"/>
      <c r="CI101" s="413"/>
      <c r="CJ101" s="413"/>
      <c r="CK101" s="413"/>
      <c r="CL101" s="413"/>
      <c r="CM101" s="413"/>
      <c r="CN101" s="413"/>
      <c r="CO101" s="413"/>
      <c r="CP101" s="413"/>
      <c r="CQ101" s="413"/>
      <c r="CR101" s="413"/>
      <c r="CS101" s="413"/>
      <c r="CT101" s="413"/>
      <c r="CU101" s="413"/>
      <c r="CV101" s="413"/>
      <c r="CW101" s="413"/>
      <c r="CX101" s="413"/>
      <c r="CY101" s="413"/>
      <c r="CZ101" s="413"/>
      <c r="DA101" s="413"/>
    </row>
    <row r="102" ht="12" customHeight="1"/>
    <row r="103" spans="1:105" s="80" customFormat="1" ht="27" customHeight="1">
      <c r="A103" s="199" t="s">
        <v>277</v>
      </c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</row>
    <row r="104" ht="6" customHeight="1"/>
    <row r="105" spans="1:105" s="80" customFormat="1" ht="14.25">
      <c r="A105" s="80" t="s">
        <v>221</v>
      </c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0"/>
      <c r="BA105" s="430"/>
      <c r="BB105" s="430"/>
      <c r="BC105" s="430"/>
      <c r="BD105" s="430"/>
      <c r="BE105" s="430"/>
      <c r="BF105" s="430"/>
      <c r="BG105" s="430"/>
      <c r="BH105" s="430"/>
      <c r="BI105" s="430"/>
      <c r="BJ105" s="430"/>
      <c r="BK105" s="430"/>
      <c r="BL105" s="430"/>
      <c r="BM105" s="430"/>
      <c r="BN105" s="430"/>
      <c r="BO105" s="430"/>
      <c r="BP105" s="430"/>
      <c r="BQ105" s="430"/>
      <c r="BR105" s="430"/>
      <c r="BS105" s="430"/>
      <c r="BT105" s="430"/>
      <c r="BU105" s="430"/>
      <c r="BV105" s="430"/>
      <c r="BW105" s="430"/>
      <c r="BX105" s="430"/>
      <c r="BY105" s="430"/>
      <c r="BZ105" s="430"/>
      <c r="CA105" s="430"/>
      <c r="CB105" s="430"/>
      <c r="CC105" s="430"/>
      <c r="CD105" s="430"/>
      <c r="CE105" s="430"/>
      <c r="CF105" s="430"/>
      <c r="CG105" s="430"/>
      <c r="CH105" s="430"/>
      <c r="CI105" s="430"/>
      <c r="CJ105" s="430"/>
      <c r="CK105" s="430"/>
      <c r="CL105" s="430"/>
      <c r="CM105" s="430"/>
      <c r="CN105" s="430"/>
      <c r="CO105" s="430"/>
      <c r="CP105" s="430"/>
      <c r="CQ105" s="430"/>
      <c r="CR105" s="430"/>
      <c r="CS105" s="430"/>
      <c r="CT105" s="430"/>
      <c r="CU105" s="430"/>
      <c r="CV105" s="430"/>
      <c r="CW105" s="430"/>
      <c r="CX105" s="430"/>
      <c r="CY105" s="430"/>
      <c r="CZ105" s="430"/>
      <c r="DA105" s="430"/>
    </row>
    <row r="106" spans="24:105" s="80" customFormat="1" ht="6" customHeight="1"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</row>
    <row r="107" spans="1:105" s="80" customFormat="1" ht="14.25">
      <c r="A107" s="431" t="s">
        <v>222</v>
      </c>
      <c r="B107" s="431"/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47"/>
      <c r="AQ107" s="447"/>
      <c r="AR107" s="447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7"/>
      <c r="BF107" s="447"/>
      <c r="BG107" s="447"/>
      <c r="BH107" s="447"/>
      <c r="BI107" s="447"/>
      <c r="BJ107" s="447"/>
      <c r="BK107" s="447"/>
      <c r="BL107" s="447"/>
      <c r="BM107" s="447"/>
      <c r="BN107" s="447"/>
      <c r="BO107" s="447"/>
      <c r="BP107" s="447"/>
      <c r="BQ107" s="447"/>
      <c r="BR107" s="447"/>
      <c r="BS107" s="447"/>
      <c r="BT107" s="447"/>
      <c r="BU107" s="447"/>
      <c r="BV107" s="447"/>
      <c r="BW107" s="447"/>
      <c r="BX107" s="447"/>
      <c r="BY107" s="447"/>
      <c r="BZ107" s="447"/>
      <c r="CA107" s="447"/>
      <c r="CB107" s="447"/>
      <c r="CC107" s="447"/>
      <c r="CD107" s="447"/>
      <c r="CE107" s="447"/>
      <c r="CF107" s="447"/>
      <c r="CG107" s="447"/>
      <c r="CH107" s="447"/>
      <c r="CI107" s="447"/>
      <c r="CJ107" s="447"/>
      <c r="CK107" s="447"/>
      <c r="CL107" s="447"/>
      <c r="CM107" s="447"/>
      <c r="CN107" s="447"/>
      <c r="CO107" s="447"/>
      <c r="CP107" s="447"/>
      <c r="CQ107" s="447"/>
      <c r="CR107" s="447"/>
      <c r="CS107" s="447"/>
      <c r="CT107" s="447"/>
      <c r="CU107" s="447"/>
      <c r="CV107" s="447"/>
      <c r="CW107" s="447"/>
      <c r="CX107" s="447"/>
      <c r="CY107" s="447"/>
      <c r="CZ107" s="447"/>
      <c r="DA107" s="447"/>
    </row>
    <row r="108" ht="10.5" customHeight="1"/>
    <row r="109" spans="1:105" s="82" customFormat="1" ht="45" customHeight="1">
      <c r="A109" s="419" t="s">
        <v>192</v>
      </c>
      <c r="B109" s="420"/>
      <c r="C109" s="420"/>
      <c r="D109" s="420"/>
      <c r="E109" s="420"/>
      <c r="F109" s="420"/>
      <c r="G109" s="421"/>
      <c r="H109" s="201" t="s">
        <v>0</v>
      </c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3"/>
      <c r="BD109" s="419" t="s">
        <v>269</v>
      </c>
      <c r="BE109" s="420"/>
      <c r="BF109" s="420"/>
      <c r="BG109" s="420"/>
      <c r="BH109" s="420"/>
      <c r="BI109" s="420"/>
      <c r="BJ109" s="420"/>
      <c r="BK109" s="420"/>
      <c r="BL109" s="420"/>
      <c r="BM109" s="420"/>
      <c r="BN109" s="420"/>
      <c r="BO109" s="420"/>
      <c r="BP109" s="420"/>
      <c r="BQ109" s="420"/>
      <c r="BR109" s="420"/>
      <c r="BS109" s="421"/>
      <c r="BT109" s="419" t="s">
        <v>270</v>
      </c>
      <c r="BU109" s="420"/>
      <c r="BV109" s="420"/>
      <c r="BW109" s="420"/>
      <c r="BX109" s="420"/>
      <c r="BY109" s="420"/>
      <c r="BZ109" s="420"/>
      <c r="CA109" s="420"/>
      <c r="CB109" s="420"/>
      <c r="CC109" s="420"/>
      <c r="CD109" s="420"/>
      <c r="CE109" s="420"/>
      <c r="CF109" s="420"/>
      <c r="CG109" s="420"/>
      <c r="CH109" s="420"/>
      <c r="CI109" s="421"/>
      <c r="CJ109" s="419" t="s">
        <v>271</v>
      </c>
      <c r="CK109" s="420"/>
      <c r="CL109" s="420"/>
      <c r="CM109" s="420"/>
      <c r="CN109" s="420"/>
      <c r="CO109" s="420"/>
      <c r="CP109" s="420"/>
      <c r="CQ109" s="420"/>
      <c r="CR109" s="420"/>
      <c r="CS109" s="420"/>
      <c r="CT109" s="420"/>
      <c r="CU109" s="420"/>
      <c r="CV109" s="420"/>
      <c r="CW109" s="420"/>
      <c r="CX109" s="420"/>
      <c r="CY109" s="420"/>
      <c r="CZ109" s="420"/>
      <c r="DA109" s="421"/>
    </row>
    <row r="110" spans="1:105" s="83" customFormat="1" ht="12.75">
      <c r="A110" s="416">
        <v>1</v>
      </c>
      <c r="B110" s="416"/>
      <c r="C110" s="416"/>
      <c r="D110" s="416"/>
      <c r="E110" s="416"/>
      <c r="F110" s="416"/>
      <c r="G110" s="416"/>
      <c r="H110" s="196">
        <v>2</v>
      </c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8"/>
      <c r="BD110" s="416">
        <v>3</v>
      </c>
      <c r="BE110" s="416"/>
      <c r="BF110" s="416"/>
      <c r="BG110" s="416"/>
      <c r="BH110" s="416"/>
      <c r="BI110" s="416"/>
      <c r="BJ110" s="416"/>
      <c r="BK110" s="416"/>
      <c r="BL110" s="416"/>
      <c r="BM110" s="416"/>
      <c r="BN110" s="416"/>
      <c r="BO110" s="416"/>
      <c r="BP110" s="416"/>
      <c r="BQ110" s="416"/>
      <c r="BR110" s="416"/>
      <c r="BS110" s="416"/>
      <c r="BT110" s="416">
        <v>4</v>
      </c>
      <c r="BU110" s="416"/>
      <c r="BV110" s="416"/>
      <c r="BW110" s="416"/>
      <c r="BX110" s="416"/>
      <c r="BY110" s="416"/>
      <c r="BZ110" s="416"/>
      <c r="CA110" s="416"/>
      <c r="CB110" s="416"/>
      <c r="CC110" s="416"/>
      <c r="CD110" s="416"/>
      <c r="CE110" s="416"/>
      <c r="CF110" s="416"/>
      <c r="CG110" s="416"/>
      <c r="CH110" s="416"/>
      <c r="CI110" s="416"/>
      <c r="CJ110" s="416">
        <v>5</v>
      </c>
      <c r="CK110" s="416"/>
      <c r="CL110" s="416"/>
      <c r="CM110" s="416"/>
      <c r="CN110" s="416"/>
      <c r="CO110" s="416"/>
      <c r="CP110" s="416"/>
      <c r="CQ110" s="416"/>
      <c r="CR110" s="416"/>
      <c r="CS110" s="416"/>
      <c r="CT110" s="416"/>
      <c r="CU110" s="416"/>
      <c r="CV110" s="416"/>
      <c r="CW110" s="416"/>
      <c r="CX110" s="416"/>
      <c r="CY110" s="416"/>
      <c r="CZ110" s="416"/>
      <c r="DA110" s="416"/>
    </row>
    <row r="111" spans="1:105" s="84" customFormat="1" ht="15" customHeight="1">
      <c r="A111" s="407"/>
      <c r="B111" s="407"/>
      <c r="C111" s="407"/>
      <c r="D111" s="407"/>
      <c r="E111" s="407"/>
      <c r="F111" s="407"/>
      <c r="G111" s="407"/>
      <c r="H111" s="434"/>
      <c r="I111" s="435"/>
      <c r="J111" s="435"/>
      <c r="K111" s="435"/>
      <c r="L111" s="435"/>
      <c r="M111" s="435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6"/>
      <c r="BD111" s="409"/>
      <c r="BE111" s="409"/>
      <c r="BF111" s="409"/>
      <c r="BG111" s="409"/>
      <c r="BH111" s="409"/>
      <c r="BI111" s="409"/>
      <c r="BJ111" s="409"/>
      <c r="BK111" s="409"/>
      <c r="BL111" s="409"/>
      <c r="BM111" s="409"/>
      <c r="BN111" s="409"/>
      <c r="BO111" s="409"/>
      <c r="BP111" s="409"/>
      <c r="BQ111" s="409"/>
      <c r="BR111" s="409"/>
      <c r="BS111" s="409"/>
      <c r="BT111" s="409"/>
      <c r="BU111" s="409"/>
      <c r="BV111" s="409"/>
      <c r="BW111" s="409"/>
      <c r="BX111" s="409"/>
      <c r="BY111" s="409"/>
      <c r="BZ111" s="409"/>
      <c r="CA111" s="409"/>
      <c r="CB111" s="409"/>
      <c r="CC111" s="409"/>
      <c r="CD111" s="409"/>
      <c r="CE111" s="409"/>
      <c r="CF111" s="409"/>
      <c r="CG111" s="409"/>
      <c r="CH111" s="409"/>
      <c r="CI111" s="409"/>
      <c r="CJ111" s="409"/>
      <c r="CK111" s="409"/>
      <c r="CL111" s="409"/>
      <c r="CM111" s="409"/>
      <c r="CN111" s="409"/>
      <c r="CO111" s="409"/>
      <c r="CP111" s="409"/>
      <c r="CQ111" s="409"/>
      <c r="CR111" s="409"/>
      <c r="CS111" s="409"/>
      <c r="CT111" s="409"/>
      <c r="CU111" s="409"/>
      <c r="CV111" s="409"/>
      <c r="CW111" s="409"/>
      <c r="CX111" s="409"/>
      <c r="CY111" s="409"/>
      <c r="CZ111" s="409"/>
      <c r="DA111" s="409"/>
    </row>
    <row r="112" spans="1:105" s="84" customFormat="1" ht="15" customHeight="1">
      <c r="A112" s="407"/>
      <c r="B112" s="407"/>
      <c r="C112" s="407"/>
      <c r="D112" s="407"/>
      <c r="E112" s="407"/>
      <c r="F112" s="407"/>
      <c r="G112" s="407"/>
      <c r="H112" s="434"/>
      <c r="I112" s="435"/>
      <c r="J112" s="435"/>
      <c r="K112" s="435"/>
      <c r="L112" s="435"/>
      <c r="M112" s="435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6"/>
      <c r="BD112" s="409"/>
      <c r="BE112" s="409"/>
      <c r="BF112" s="409"/>
      <c r="BG112" s="409"/>
      <c r="BH112" s="409"/>
      <c r="BI112" s="409"/>
      <c r="BJ112" s="409"/>
      <c r="BK112" s="409"/>
      <c r="BL112" s="409"/>
      <c r="BM112" s="409"/>
      <c r="BN112" s="409"/>
      <c r="BO112" s="409"/>
      <c r="BP112" s="409"/>
      <c r="BQ112" s="409"/>
      <c r="BR112" s="409"/>
      <c r="BS112" s="409"/>
      <c r="BT112" s="409"/>
      <c r="BU112" s="409"/>
      <c r="BV112" s="409"/>
      <c r="BW112" s="409"/>
      <c r="BX112" s="409"/>
      <c r="BY112" s="409"/>
      <c r="BZ112" s="409"/>
      <c r="CA112" s="409"/>
      <c r="CB112" s="409"/>
      <c r="CC112" s="409"/>
      <c r="CD112" s="409"/>
      <c r="CE112" s="409"/>
      <c r="CF112" s="409"/>
      <c r="CG112" s="409"/>
      <c r="CH112" s="409"/>
      <c r="CI112" s="409"/>
      <c r="CJ112" s="409"/>
      <c r="CK112" s="409"/>
      <c r="CL112" s="409"/>
      <c r="CM112" s="409"/>
      <c r="CN112" s="409"/>
      <c r="CO112" s="409"/>
      <c r="CP112" s="409"/>
      <c r="CQ112" s="409"/>
      <c r="CR112" s="409"/>
      <c r="CS112" s="409"/>
      <c r="CT112" s="409"/>
      <c r="CU112" s="409"/>
      <c r="CV112" s="409"/>
      <c r="CW112" s="409"/>
      <c r="CX112" s="409"/>
      <c r="CY112" s="409"/>
      <c r="CZ112" s="409"/>
      <c r="DA112" s="409"/>
    </row>
    <row r="113" spans="1:105" s="84" customFormat="1" ht="15" customHeight="1">
      <c r="A113" s="407"/>
      <c r="B113" s="407"/>
      <c r="C113" s="407"/>
      <c r="D113" s="407"/>
      <c r="E113" s="407"/>
      <c r="F113" s="407"/>
      <c r="G113" s="407"/>
      <c r="H113" s="443" t="s">
        <v>233</v>
      </c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/>
      <c r="U113" s="437"/>
      <c r="V113" s="437"/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8"/>
      <c r="BD113" s="409" t="s">
        <v>234</v>
      </c>
      <c r="BE113" s="409"/>
      <c r="BF113" s="409"/>
      <c r="BG113" s="409"/>
      <c r="BH113" s="409"/>
      <c r="BI113" s="409"/>
      <c r="BJ113" s="409"/>
      <c r="BK113" s="409"/>
      <c r="BL113" s="409"/>
      <c r="BM113" s="409"/>
      <c r="BN113" s="409"/>
      <c r="BO113" s="409"/>
      <c r="BP113" s="409"/>
      <c r="BQ113" s="409"/>
      <c r="BR113" s="409"/>
      <c r="BS113" s="409"/>
      <c r="BT113" s="409" t="s">
        <v>234</v>
      </c>
      <c r="BU113" s="409"/>
      <c r="BV113" s="409"/>
      <c r="BW113" s="409"/>
      <c r="BX113" s="409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09"/>
      <c r="CI113" s="409"/>
      <c r="CJ113" s="409"/>
      <c r="CK113" s="409"/>
      <c r="CL113" s="409"/>
      <c r="CM113" s="409"/>
      <c r="CN113" s="409"/>
      <c r="CO113" s="409"/>
      <c r="CP113" s="409"/>
      <c r="CQ113" s="409"/>
      <c r="CR113" s="409"/>
      <c r="CS113" s="409"/>
      <c r="CT113" s="409"/>
      <c r="CU113" s="409"/>
      <c r="CV113" s="409"/>
      <c r="CW113" s="409"/>
      <c r="CX113" s="409"/>
      <c r="CY113" s="409"/>
      <c r="CZ113" s="409"/>
      <c r="DA113" s="409"/>
    </row>
    <row r="114" ht="12" customHeight="1"/>
    <row r="115" spans="1:105" s="80" customFormat="1" ht="14.25" customHeight="1">
      <c r="A115" s="439" t="s">
        <v>278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39"/>
      <c r="BF115" s="439"/>
      <c r="BG115" s="439"/>
      <c r="BH115" s="439"/>
      <c r="BI115" s="439"/>
      <c r="BJ115" s="439"/>
      <c r="BK115" s="439"/>
      <c r="BL115" s="439"/>
      <c r="BM115" s="439"/>
      <c r="BN115" s="439"/>
      <c r="BO115" s="439"/>
      <c r="BP115" s="439"/>
      <c r="BQ115" s="439"/>
      <c r="BR115" s="439"/>
      <c r="BS115" s="439"/>
      <c r="BT115" s="439"/>
      <c r="BU115" s="439"/>
      <c r="BV115" s="439"/>
      <c r="BW115" s="439"/>
      <c r="BX115" s="439"/>
      <c r="BY115" s="439"/>
      <c r="BZ115" s="439"/>
      <c r="CA115" s="439"/>
      <c r="CB115" s="439"/>
      <c r="CC115" s="439"/>
      <c r="CD115" s="439"/>
      <c r="CE115" s="439"/>
      <c r="CF115" s="439"/>
      <c r="CG115" s="439"/>
      <c r="CH115" s="439"/>
      <c r="CI115" s="439"/>
      <c r="CJ115" s="439"/>
      <c r="CK115" s="439"/>
      <c r="CL115" s="439"/>
      <c r="CM115" s="439"/>
      <c r="CN115" s="439"/>
      <c r="CO115" s="439"/>
      <c r="CP115" s="439"/>
      <c r="CQ115" s="439"/>
      <c r="CR115" s="439"/>
      <c r="CS115" s="439"/>
      <c r="CT115" s="439"/>
      <c r="CU115" s="439"/>
      <c r="CV115" s="439"/>
      <c r="CW115" s="439"/>
      <c r="CX115" s="439"/>
      <c r="CY115" s="439"/>
      <c r="CZ115" s="439"/>
      <c r="DA115" s="439"/>
    </row>
    <row r="116" ht="6" customHeight="1"/>
    <row r="117" spans="1:105" s="80" customFormat="1" ht="14.25">
      <c r="A117" s="80" t="s">
        <v>221</v>
      </c>
      <c r="X117" s="430"/>
      <c r="Y117" s="430"/>
      <c r="Z117" s="430"/>
      <c r="AA117" s="430"/>
      <c r="AB117" s="430"/>
      <c r="AC117" s="430"/>
      <c r="AD117" s="430"/>
      <c r="AE117" s="430"/>
      <c r="AF117" s="430"/>
      <c r="AG117" s="430"/>
      <c r="AH117" s="430"/>
      <c r="AI117" s="430"/>
      <c r="AJ117" s="430"/>
      <c r="AK117" s="430"/>
      <c r="AL117" s="430"/>
      <c r="AM117" s="430"/>
      <c r="AN117" s="430"/>
      <c r="AO117" s="430"/>
      <c r="AP117" s="430"/>
      <c r="AQ117" s="430"/>
      <c r="AR117" s="430"/>
      <c r="AS117" s="430"/>
      <c r="AT117" s="430"/>
      <c r="AU117" s="430"/>
      <c r="AV117" s="430"/>
      <c r="AW117" s="430"/>
      <c r="AX117" s="430"/>
      <c r="AY117" s="430"/>
      <c r="AZ117" s="430"/>
      <c r="BA117" s="430"/>
      <c r="BB117" s="430"/>
      <c r="BC117" s="430"/>
      <c r="BD117" s="430"/>
      <c r="BE117" s="430"/>
      <c r="BF117" s="430"/>
      <c r="BG117" s="430"/>
      <c r="BH117" s="430"/>
      <c r="BI117" s="430"/>
      <c r="BJ117" s="430"/>
      <c r="BK117" s="430"/>
      <c r="BL117" s="430"/>
      <c r="BM117" s="430"/>
      <c r="BN117" s="430"/>
      <c r="BO117" s="430"/>
      <c r="BP117" s="430"/>
      <c r="BQ117" s="430"/>
      <c r="BR117" s="430"/>
      <c r="BS117" s="430"/>
      <c r="BT117" s="430"/>
      <c r="BU117" s="430"/>
      <c r="BV117" s="430"/>
      <c r="BW117" s="430"/>
      <c r="BX117" s="430"/>
      <c r="BY117" s="430"/>
      <c r="BZ117" s="430"/>
      <c r="CA117" s="430"/>
      <c r="CB117" s="430"/>
      <c r="CC117" s="430"/>
      <c r="CD117" s="430"/>
      <c r="CE117" s="430"/>
      <c r="CF117" s="430"/>
      <c r="CG117" s="430"/>
      <c r="CH117" s="430"/>
      <c r="CI117" s="430"/>
      <c r="CJ117" s="430"/>
      <c r="CK117" s="430"/>
      <c r="CL117" s="430"/>
      <c r="CM117" s="430"/>
      <c r="CN117" s="430"/>
      <c r="CO117" s="430"/>
      <c r="CP117" s="430"/>
      <c r="CQ117" s="430"/>
      <c r="CR117" s="430"/>
      <c r="CS117" s="430"/>
      <c r="CT117" s="430"/>
      <c r="CU117" s="430"/>
      <c r="CV117" s="430"/>
      <c r="CW117" s="430"/>
      <c r="CX117" s="430"/>
      <c r="CY117" s="430"/>
      <c r="CZ117" s="430"/>
      <c r="DA117" s="430"/>
    </row>
    <row r="118" spans="24:105" s="80" customFormat="1" ht="6" customHeight="1"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</row>
    <row r="119" spans="1:105" s="80" customFormat="1" ht="14.25">
      <c r="A119" s="431" t="s">
        <v>222</v>
      </c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1"/>
      <c r="AB119" s="431"/>
      <c r="AC119" s="431"/>
      <c r="AD119" s="431"/>
      <c r="AE119" s="431"/>
      <c r="AF119" s="431"/>
      <c r="AG119" s="431"/>
      <c r="AH119" s="431"/>
      <c r="AI119" s="431"/>
      <c r="AJ119" s="431"/>
      <c r="AK119" s="431"/>
      <c r="AL119" s="431"/>
      <c r="AM119" s="431"/>
      <c r="AN119" s="431"/>
      <c r="AO119" s="431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7"/>
      <c r="BI119" s="447"/>
      <c r="BJ119" s="447"/>
      <c r="BK119" s="447"/>
      <c r="BL119" s="447"/>
      <c r="BM119" s="447"/>
      <c r="BN119" s="447"/>
      <c r="BO119" s="447"/>
      <c r="BP119" s="447"/>
      <c r="BQ119" s="447"/>
      <c r="BR119" s="447"/>
      <c r="BS119" s="447"/>
      <c r="BT119" s="447"/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7"/>
      <c r="CE119" s="447"/>
      <c r="CF119" s="447"/>
      <c r="CG119" s="447"/>
      <c r="CH119" s="447"/>
      <c r="CI119" s="447"/>
      <c r="CJ119" s="447"/>
      <c r="CK119" s="447"/>
      <c r="CL119" s="447"/>
      <c r="CM119" s="447"/>
      <c r="CN119" s="447"/>
      <c r="CO119" s="447"/>
      <c r="CP119" s="447"/>
      <c r="CQ119" s="447"/>
      <c r="CR119" s="447"/>
      <c r="CS119" s="447"/>
      <c r="CT119" s="447"/>
      <c r="CU119" s="447"/>
      <c r="CV119" s="447"/>
      <c r="CW119" s="447"/>
      <c r="CX119" s="447"/>
      <c r="CY119" s="447"/>
      <c r="CZ119" s="447"/>
      <c r="DA119" s="447"/>
    </row>
    <row r="120" ht="10.5" customHeight="1"/>
    <row r="121" spans="1:105" s="80" customFormat="1" ht="24.75" customHeight="1">
      <c r="A121" s="419" t="s">
        <v>192</v>
      </c>
      <c r="B121" s="420"/>
      <c r="C121" s="420"/>
      <c r="D121" s="420"/>
      <c r="E121" s="420"/>
      <c r="F121" s="420"/>
      <c r="G121" s="421"/>
      <c r="H121" s="201" t="s">
        <v>0</v>
      </c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3"/>
      <c r="BD121" s="419" t="s">
        <v>269</v>
      </c>
      <c r="BE121" s="420"/>
      <c r="BF121" s="420"/>
      <c r="BG121" s="420"/>
      <c r="BH121" s="420"/>
      <c r="BI121" s="420"/>
      <c r="BJ121" s="420"/>
      <c r="BK121" s="420"/>
      <c r="BL121" s="420"/>
      <c r="BM121" s="420"/>
      <c r="BN121" s="420"/>
      <c r="BO121" s="420"/>
      <c r="BP121" s="420"/>
      <c r="BQ121" s="420"/>
      <c r="BR121" s="420"/>
      <c r="BS121" s="421"/>
      <c r="BT121" s="419" t="s">
        <v>270</v>
      </c>
      <c r="BU121" s="420"/>
      <c r="BV121" s="420"/>
      <c r="BW121" s="420"/>
      <c r="BX121" s="420"/>
      <c r="BY121" s="420"/>
      <c r="BZ121" s="420"/>
      <c r="CA121" s="420"/>
      <c r="CB121" s="420"/>
      <c r="CC121" s="420"/>
      <c r="CD121" s="420"/>
      <c r="CE121" s="420"/>
      <c r="CF121" s="420"/>
      <c r="CG121" s="420"/>
      <c r="CH121" s="420"/>
      <c r="CI121" s="421"/>
      <c r="CJ121" s="419" t="s">
        <v>271</v>
      </c>
      <c r="CK121" s="420"/>
      <c r="CL121" s="420"/>
      <c r="CM121" s="420"/>
      <c r="CN121" s="420"/>
      <c r="CO121" s="420"/>
      <c r="CP121" s="420"/>
      <c r="CQ121" s="420"/>
      <c r="CR121" s="420"/>
      <c r="CS121" s="420"/>
      <c r="CT121" s="420"/>
      <c r="CU121" s="420"/>
      <c r="CV121" s="420"/>
      <c r="CW121" s="420"/>
      <c r="CX121" s="420"/>
      <c r="CY121" s="420"/>
      <c r="CZ121" s="420"/>
      <c r="DA121" s="421"/>
    </row>
    <row r="122" spans="1:105" ht="12.75" customHeight="1">
      <c r="A122" s="416">
        <v>1</v>
      </c>
      <c r="B122" s="416"/>
      <c r="C122" s="416"/>
      <c r="D122" s="416"/>
      <c r="E122" s="416"/>
      <c r="F122" s="416"/>
      <c r="G122" s="416"/>
      <c r="H122" s="196">
        <v>2</v>
      </c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8"/>
      <c r="BD122" s="416">
        <v>3</v>
      </c>
      <c r="BE122" s="416"/>
      <c r="BF122" s="416"/>
      <c r="BG122" s="416"/>
      <c r="BH122" s="416"/>
      <c r="BI122" s="416"/>
      <c r="BJ122" s="416"/>
      <c r="BK122" s="416"/>
      <c r="BL122" s="416"/>
      <c r="BM122" s="416"/>
      <c r="BN122" s="416"/>
      <c r="BO122" s="416"/>
      <c r="BP122" s="416"/>
      <c r="BQ122" s="416"/>
      <c r="BR122" s="416"/>
      <c r="BS122" s="416"/>
      <c r="BT122" s="416">
        <v>4</v>
      </c>
      <c r="BU122" s="416"/>
      <c r="BV122" s="416"/>
      <c r="BW122" s="416"/>
      <c r="BX122" s="416"/>
      <c r="BY122" s="416"/>
      <c r="BZ122" s="416"/>
      <c r="CA122" s="416"/>
      <c r="CB122" s="416"/>
      <c r="CC122" s="416"/>
      <c r="CD122" s="416"/>
      <c r="CE122" s="416"/>
      <c r="CF122" s="416"/>
      <c r="CG122" s="416"/>
      <c r="CH122" s="416"/>
      <c r="CI122" s="416"/>
      <c r="CJ122" s="416">
        <v>5</v>
      </c>
      <c r="CK122" s="416"/>
      <c r="CL122" s="416"/>
      <c r="CM122" s="416"/>
      <c r="CN122" s="416"/>
      <c r="CO122" s="416"/>
      <c r="CP122" s="416"/>
      <c r="CQ122" s="416"/>
      <c r="CR122" s="416"/>
      <c r="CS122" s="416"/>
      <c r="CT122" s="416"/>
      <c r="CU122" s="416"/>
      <c r="CV122" s="416"/>
      <c r="CW122" s="416"/>
      <c r="CX122" s="416"/>
      <c r="CY122" s="416"/>
      <c r="CZ122" s="416"/>
      <c r="DA122" s="416"/>
    </row>
    <row r="123" spans="1:105" s="82" customFormat="1" ht="45" customHeight="1">
      <c r="A123" s="407"/>
      <c r="B123" s="407"/>
      <c r="C123" s="407"/>
      <c r="D123" s="407"/>
      <c r="E123" s="407"/>
      <c r="F123" s="407"/>
      <c r="G123" s="407"/>
      <c r="H123" s="434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35"/>
      <c r="AE123" s="435"/>
      <c r="AF123" s="435"/>
      <c r="AG123" s="435"/>
      <c r="AH123" s="435"/>
      <c r="AI123" s="435"/>
      <c r="AJ123" s="435"/>
      <c r="AK123" s="435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6"/>
      <c r="BD123" s="409"/>
      <c r="BE123" s="409"/>
      <c r="BF123" s="409"/>
      <c r="BG123" s="409"/>
      <c r="BH123" s="409"/>
      <c r="BI123" s="409"/>
      <c r="BJ123" s="409"/>
      <c r="BK123" s="409"/>
      <c r="BL123" s="409"/>
      <c r="BM123" s="409"/>
      <c r="BN123" s="409"/>
      <c r="BO123" s="409"/>
      <c r="BP123" s="409"/>
      <c r="BQ123" s="409"/>
      <c r="BR123" s="409"/>
      <c r="BS123" s="409"/>
      <c r="BT123" s="409"/>
      <c r="BU123" s="409"/>
      <c r="BV123" s="409"/>
      <c r="BW123" s="409"/>
      <c r="BX123" s="409"/>
      <c r="BY123" s="409"/>
      <c r="BZ123" s="409"/>
      <c r="CA123" s="409"/>
      <c r="CB123" s="409"/>
      <c r="CC123" s="409"/>
      <c r="CD123" s="409"/>
      <c r="CE123" s="409"/>
      <c r="CF123" s="409"/>
      <c r="CG123" s="409"/>
      <c r="CH123" s="409"/>
      <c r="CI123" s="409"/>
      <c r="CJ123" s="409"/>
      <c r="CK123" s="409"/>
      <c r="CL123" s="409"/>
      <c r="CM123" s="409"/>
      <c r="CN123" s="409"/>
      <c r="CO123" s="409"/>
      <c r="CP123" s="409"/>
      <c r="CQ123" s="409"/>
      <c r="CR123" s="409"/>
      <c r="CS123" s="409"/>
      <c r="CT123" s="409"/>
      <c r="CU123" s="409"/>
      <c r="CV123" s="409"/>
      <c r="CW123" s="409"/>
      <c r="CX123" s="409"/>
      <c r="CY123" s="409"/>
      <c r="CZ123" s="409"/>
      <c r="DA123" s="409"/>
    </row>
    <row r="124" spans="1:105" s="83" customFormat="1" ht="12.75">
      <c r="A124" s="407"/>
      <c r="B124" s="407"/>
      <c r="C124" s="407"/>
      <c r="D124" s="407"/>
      <c r="E124" s="407"/>
      <c r="F124" s="407"/>
      <c r="G124" s="407"/>
      <c r="H124" s="434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6"/>
      <c r="BD124" s="409"/>
      <c r="BE124" s="409"/>
      <c r="BF124" s="409"/>
      <c r="BG124" s="409"/>
      <c r="BH124" s="409"/>
      <c r="BI124" s="409"/>
      <c r="BJ124" s="409"/>
      <c r="BK124" s="409"/>
      <c r="BL124" s="409"/>
      <c r="BM124" s="409"/>
      <c r="BN124" s="409"/>
      <c r="BO124" s="409"/>
      <c r="BP124" s="409"/>
      <c r="BQ124" s="409"/>
      <c r="BR124" s="409"/>
      <c r="BS124" s="409"/>
      <c r="BT124" s="409"/>
      <c r="BU124" s="409"/>
      <c r="BV124" s="409"/>
      <c r="BW124" s="409"/>
      <c r="BX124" s="409"/>
      <c r="BY124" s="409"/>
      <c r="BZ124" s="409"/>
      <c r="CA124" s="409"/>
      <c r="CB124" s="409"/>
      <c r="CC124" s="409"/>
      <c r="CD124" s="409"/>
      <c r="CE124" s="409"/>
      <c r="CF124" s="409"/>
      <c r="CG124" s="409"/>
      <c r="CH124" s="409"/>
      <c r="CI124" s="409"/>
      <c r="CJ124" s="409"/>
      <c r="CK124" s="409"/>
      <c r="CL124" s="409"/>
      <c r="CM124" s="409"/>
      <c r="CN124" s="409"/>
      <c r="CO124" s="409"/>
      <c r="CP124" s="409"/>
      <c r="CQ124" s="409"/>
      <c r="CR124" s="409"/>
      <c r="CS124" s="409"/>
      <c r="CT124" s="409"/>
      <c r="CU124" s="409"/>
      <c r="CV124" s="409"/>
      <c r="CW124" s="409"/>
      <c r="CX124" s="409"/>
      <c r="CY124" s="409"/>
      <c r="CZ124" s="409"/>
      <c r="DA124" s="409"/>
    </row>
    <row r="125" spans="1:105" s="84" customFormat="1" ht="15" customHeight="1">
      <c r="A125" s="407"/>
      <c r="B125" s="407"/>
      <c r="C125" s="407"/>
      <c r="D125" s="407"/>
      <c r="E125" s="407"/>
      <c r="F125" s="407"/>
      <c r="G125" s="407"/>
      <c r="H125" s="443" t="s">
        <v>233</v>
      </c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/>
      <c r="U125" s="437"/>
      <c r="V125" s="437"/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8"/>
      <c r="BD125" s="409" t="s">
        <v>234</v>
      </c>
      <c r="BE125" s="409"/>
      <c r="BF125" s="409"/>
      <c r="BG125" s="409"/>
      <c r="BH125" s="409"/>
      <c r="BI125" s="409"/>
      <c r="BJ125" s="409"/>
      <c r="BK125" s="409"/>
      <c r="BL125" s="409"/>
      <c r="BM125" s="409"/>
      <c r="BN125" s="409"/>
      <c r="BO125" s="409"/>
      <c r="BP125" s="409"/>
      <c r="BQ125" s="409"/>
      <c r="BR125" s="409"/>
      <c r="BS125" s="409"/>
      <c r="BT125" s="409" t="s">
        <v>234</v>
      </c>
      <c r="BU125" s="409"/>
      <c r="BV125" s="409"/>
      <c r="BW125" s="409"/>
      <c r="BX125" s="409"/>
      <c r="BY125" s="409"/>
      <c r="BZ125" s="409"/>
      <c r="CA125" s="409"/>
      <c r="CB125" s="409"/>
      <c r="CC125" s="409"/>
      <c r="CD125" s="409"/>
      <c r="CE125" s="409"/>
      <c r="CF125" s="409"/>
      <c r="CG125" s="409"/>
      <c r="CH125" s="409"/>
      <c r="CI125" s="409"/>
      <c r="CJ125" s="409"/>
      <c r="CK125" s="409"/>
      <c r="CL125" s="409"/>
      <c r="CM125" s="409"/>
      <c r="CN125" s="409"/>
      <c r="CO125" s="409"/>
      <c r="CP125" s="409"/>
      <c r="CQ125" s="409"/>
      <c r="CR125" s="409"/>
      <c r="CS125" s="409"/>
      <c r="CT125" s="409"/>
      <c r="CU125" s="409"/>
      <c r="CV125" s="409"/>
      <c r="CW125" s="409"/>
      <c r="CX125" s="409"/>
      <c r="CY125" s="409"/>
      <c r="CZ125" s="409"/>
      <c r="DA125" s="409"/>
    </row>
    <row r="126" spans="1:105" s="84" customFormat="1" ht="1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</row>
    <row r="127" spans="1:105" s="84" customFormat="1" ht="15" customHeight="1">
      <c r="A127" s="199" t="s">
        <v>279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</row>
    <row r="128" ht="10.5" customHeight="1"/>
    <row r="129" spans="1:105" s="80" customFormat="1" ht="14.25">
      <c r="A129" s="80" t="s">
        <v>221</v>
      </c>
      <c r="X129" s="430" t="s">
        <v>57</v>
      </c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M129" s="430"/>
      <c r="AN129" s="430"/>
      <c r="AO129" s="430"/>
      <c r="AP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0"/>
      <c r="BA129" s="430"/>
      <c r="BB129" s="430"/>
      <c r="BC129" s="430"/>
      <c r="BD129" s="430"/>
      <c r="BE129" s="430"/>
      <c r="BF129" s="430"/>
      <c r="BG129" s="430"/>
      <c r="BH129" s="430"/>
      <c r="BI129" s="430"/>
      <c r="BJ129" s="430"/>
      <c r="BK129" s="430"/>
      <c r="BL129" s="430"/>
      <c r="BM129" s="430"/>
      <c r="BN129" s="430"/>
      <c r="BO129" s="430"/>
      <c r="BP129" s="430"/>
      <c r="BQ129" s="430"/>
      <c r="BR129" s="430"/>
      <c r="BS129" s="430"/>
      <c r="BT129" s="430"/>
      <c r="BU129" s="430"/>
      <c r="BV129" s="430"/>
      <c r="BW129" s="430"/>
      <c r="BX129" s="430"/>
      <c r="BY129" s="430"/>
      <c r="BZ129" s="430"/>
      <c r="CA129" s="430"/>
      <c r="CB129" s="430"/>
      <c r="CC129" s="430"/>
      <c r="CD129" s="430"/>
      <c r="CE129" s="430"/>
      <c r="CF129" s="430"/>
      <c r="CG129" s="430"/>
      <c r="CH129" s="430"/>
      <c r="CI129" s="430"/>
      <c r="CJ129" s="430"/>
      <c r="CK129" s="430"/>
      <c r="CL129" s="430"/>
      <c r="CM129" s="430"/>
      <c r="CN129" s="430"/>
      <c r="CO129" s="430"/>
      <c r="CP129" s="430"/>
      <c r="CQ129" s="430"/>
      <c r="CR129" s="430"/>
      <c r="CS129" s="430"/>
      <c r="CT129" s="430"/>
      <c r="CU129" s="430"/>
      <c r="CV129" s="430"/>
      <c r="CW129" s="430"/>
      <c r="CX129" s="430"/>
      <c r="CY129" s="430"/>
      <c r="CZ129" s="430"/>
      <c r="DA129" s="430"/>
    </row>
    <row r="130" spans="1:105" ht="10.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</row>
    <row r="131" spans="1:105" s="82" customFormat="1" ht="45" customHeight="1">
      <c r="A131" s="431" t="s">
        <v>222</v>
      </c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  <c r="V131" s="431"/>
      <c r="W131" s="431"/>
      <c r="X131" s="431"/>
      <c r="Y131" s="431"/>
      <c r="Z131" s="431"/>
      <c r="AA131" s="431"/>
      <c r="AB131" s="431"/>
      <c r="AC131" s="431"/>
      <c r="AD131" s="431"/>
      <c r="AE131" s="431"/>
      <c r="AF131" s="431"/>
      <c r="AG131" s="431"/>
      <c r="AH131" s="431"/>
      <c r="AI131" s="431"/>
      <c r="AJ131" s="431"/>
      <c r="AK131" s="431"/>
      <c r="AL131" s="431"/>
      <c r="AM131" s="431"/>
      <c r="AN131" s="431"/>
      <c r="AO131" s="431"/>
      <c r="AP131" s="447" t="s">
        <v>518</v>
      </c>
      <c r="AQ131" s="447"/>
      <c r="AR131" s="447"/>
      <c r="AS131" s="447"/>
      <c r="AT131" s="447"/>
      <c r="AU131" s="447"/>
      <c r="AV131" s="447"/>
      <c r="AW131" s="447"/>
      <c r="AX131" s="447"/>
      <c r="AY131" s="447"/>
      <c r="AZ131" s="447"/>
      <c r="BA131" s="447"/>
      <c r="BB131" s="447"/>
      <c r="BC131" s="447"/>
      <c r="BD131" s="447"/>
      <c r="BE131" s="447"/>
      <c r="BF131" s="447"/>
      <c r="BG131" s="447"/>
      <c r="BH131" s="447"/>
      <c r="BI131" s="447"/>
      <c r="BJ131" s="447"/>
      <c r="BK131" s="447"/>
      <c r="BL131" s="447"/>
      <c r="BM131" s="447"/>
      <c r="BN131" s="447"/>
      <c r="BO131" s="447"/>
      <c r="BP131" s="447"/>
      <c r="BQ131" s="447"/>
      <c r="BR131" s="447"/>
      <c r="BS131" s="447"/>
      <c r="BT131" s="447"/>
      <c r="BU131" s="447"/>
      <c r="BV131" s="447"/>
      <c r="BW131" s="447"/>
      <c r="BX131" s="447"/>
      <c r="BY131" s="447"/>
      <c r="BZ131" s="447"/>
      <c r="CA131" s="447"/>
      <c r="CB131" s="447"/>
      <c r="CC131" s="447"/>
      <c r="CD131" s="447"/>
      <c r="CE131" s="447"/>
      <c r="CF131" s="447"/>
      <c r="CG131" s="447"/>
      <c r="CH131" s="447"/>
      <c r="CI131" s="447"/>
      <c r="CJ131" s="447"/>
      <c r="CK131" s="447"/>
      <c r="CL131" s="447"/>
      <c r="CM131" s="447"/>
      <c r="CN131" s="447"/>
      <c r="CO131" s="447"/>
      <c r="CP131" s="447"/>
      <c r="CQ131" s="447"/>
      <c r="CR131" s="447"/>
      <c r="CS131" s="447"/>
      <c r="CT131" s="447"/>
      <c r="CU131" s="447"/>
      <c r="CV131" s="447"/>
      <c r="CW131" s="447"/>
      <c r="CX131" s="447"/>
      <c r="CY131" s="447"/>
      <c r="CZ131" s="447"/>
      <c r="DA131" s="447"/>
    </row>
    <row r="132" spans="1:105" s="83" customFormat="1" ht="1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</row>
    <row r="133" spans="1:105" s="84" customFormat="1" ht="15" customHeight="1">
      <c r="A133" s="608" t="s">
        <v>280</v>
      </c>
      <c r="B133" s="608"/>
      <c r="C133" s="608"/>
      <c r="D133" s="608"/>
      <c r="E133" s="608"/>
      <c r="F133" s="608"/>
      <c r="G133" s="608"/>
      <c r="H133" s="608"/>
      <c r="I133" s="608"/>
      <c r="J133" s="608"/>
      <c r="K133" s="608"/>
      <c r="L133" s="608"/>
      <c r="M133" s="608"/>
      <c r="N133" s="608"/>
      <c r="O133" s="608"/>
      <c r="P133" s="608"/>
      <c r="Q133" s="608"/>
      <c r="R133" s="608"/>
      <c r="S133" s="608"/>
      <c r="T133" s="608"/>
      <c r="U133" s="608"/>
      <c r="V133" s="608"/>
      <c r="W133" s="608"/>
      <c r="X133" s="608"/>
      <c r="Y133" s="608"/>
      <c r="Z133" s="608"/>
      <c r="AA133" s="608"/>
      <c r="AB133" s="608"/>
      <c r="AC133" s="608"/>
      <c r="AD133" s="608"/>
      <c r="AE133" s="608"/>
      <c r="AF133" s="608"/>
      <c r="AG133" s="608"/>
      <c r="AH133" s="608"/>
      <c r="AI133" s="608"/>
      <c r="AJ133" s="608"/>
      <c r="AK133" s="608"/>
      <c r="AL133" s="608"/>
      <c r="AM133" s="608"/>
      <c r="AN133" s="608"/>
      <c r="AO133" s="608"/>
      <c r="AP133" s="608"/>
      <c r="AQ133" s="608"/>
      <c r="AR133" s="608"/>
      <c r="AS133" s="608"/>
      <c r="AT133" s="608"/>
      <c r="AU133" s="608"/>
      <c r="AV133" s="608"/>
      <c r="AW133" s="608"/>
      <c r="AX133" s="608"/>
      <c r="AY133" s="608"/>
      <c r="AZ133" s="608"/>
      <c r="BA133" s="608"/>
      <c r="BB133" s="608"/>
      <c r="BC133" s="608"/>
      <c r="BD133" s="608"/>
      <c r="BE133" s="608"/>
      <c r="BF133" s="608"/>
      <c r="BG133" s="608"/>
      <c r="BH133" s="608"/>
      <c r="BI133" s="608"/>
      <c r="BJ133" s="608"/>
      <c r="BK133" s="608"/>
      <c r="BL133" s="608"/>
      <c r="BM133" s="608"/>
      <c r="BN133" s="608"/>
      <c r="BO133" s="608"/>
      <c r="BP133" s="608"/>
      <c r="BQ133" s="608"/>
      <c r="BR133" s="608"/>
      <c r="BS133" s="608"/>
      <c r="BT133" s="608"/>
      <c r="BU133" s="608"/>
      <c r="BV133" s="608"/>
      <c r="BW133" s="608"/>
      <c r="BX133" s="608"/>
      <c r="BY133" s="608"/>
      <c r="BZ133" s="608"/>
      <c r="CA133" s="608"/>
      <c r="CB133" s="608"/>
      <c r="CC133" s="608"/>
      <c r="CD133" s="608"/>
      <c r="CE133" s="608"/>
      <c r="CF133" s="608"/>
      <c r="CG133" s="608"/>
      <c r="CH133" s="608"/>
      <c r="CI133" s="608"/>
      <c r="CJ133" s="608"/>
      <c r="CK133" s="608"/>
      <c r="CL133" s="608"/>
      <c r="CM133" s="608"/>
      <c r="CN133" s="608"/>
      <c r="CO133" s="608"/>
      <c r="CP133" s="608"/>
      <c r="CQ133" s="608"/>
      <c r="CR133" s="608"/>
      <c r="CS133" s="608"/>
      <c r="CT133" s="608"/>
      <c r="CU133" s="608"/>
      <c r="CV133" s="608"/>
      <c r="CW133" s="608"/>
      <c r="CX133" s="608"/>
      <c r="CY133" s="608"/>
      <c r="CZ133" s="608"/>
      <c r="DA133" s="608"/>
    </row>
    <row r="134" spans="1:105" s="84" customFormat="1" ht="15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</row>
    <row r="135" spans="1:105" s="84" customFormat="1" ht="26.25" customHeight="1">
      <c r="A135" s="201" t="s">
        <v>192</v>
      </c>
      <c r="B135" s="202"/>
      <c r="C135" s="202"/>
      <c r="D135" s="202"/>
      <c r="E135" s="202"/>
      <c r="F135" s="202"/>
      <c r="G135" s="203"/>
      <c r="H135" s="201" t="s">
        <v>273</v>
      </c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3"/>
      <c r="AP135" s="201" t="s">
        <v>362</v>
      </c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202"/>
      <c r="BB135" s="202"/>
      <c r="BC135" s="202"/>
      <c r="BD135" s="202"/>
      <c r="BE135" s="203"/>
      <c r="BF135" s="201" t="s">
        <v>282</v>
      </c>
      <c r="BG135" s="202"/>
      <c r="BH135" s="202"/>
      <c r="BI135" s="202"/>
      <c r="BJ135" s="202"/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203"/>
      <c r="BV135" s="201" t="s">
        <v>283</v>
      </c>
      <c r="BW135" s="202"/>
      <c r="BX135" s="202"/>
      <c r="BY135" s="202"/>
      <c r="BZ135" s="202"/>
      <c r="CA135" s="202"/>
      <c r="CB135" s="202"/>
      <c r="CC135" s="202"/>
      <c r="CD135" s="202"/>
      <c r="CE135" s="202"/>
      <c r="CF135" s="202"/>
      <c r="CG135" s="202"/>
      <c r="CH135" s="202"/>
      <c r="CI135" s="202"/>
      <c r="CJ135" s="202"/>
      <c r="CK135" s="203"/>
      <c r="CL135" s="201" t="s">
        <v>240</v>
      </c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2"/>
      <c r="CX135" s="202"/>
      <c r="CY135" s="202"/>
      <c r="CZ135" s="202"/>
      <c r="DA135" s="203"/>
    </row>
    <row r="136" spans="1:105" ht="15" customHeight="1">
      <c r="A136" s="416">
        <v>1</v>
      </c>
      <c r="B136" s="416"/>
      <c r="C136" s="416"/>
      <c r="D136" s="416"/>
      <c r="E136" s="416"/>
      <c r="F136" s="416"/>
      <c r="G136" s="416"/>
      <c r="H136" s="196">
        <v>2</v>
      </c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8"/>
      <c r="AP136" s="416">
        <v>3</v>
      </c>
      <c r="AQ136" s="416"/>
      <c r="AR136" s="416"/>
      <c r="AS136" s="416"/>
      <c r="AT136" s="416"/>
      <c r="AU136" s="416"/>
      <c r="AV136" s="416"/>
      <c r="AW136" s="416"/>
      <c r="AX136" s="416"/>
      <c r="AY136" s="416"/>
      <c r="AZ136" s="416"/>
      <c r="BA136" s="416"/>
      <c r="BB136" s="416"/>
      <c r="BC136" s="416"/>
      <c r="BD136" s="416"/>
      <c r="BE136" s="416"/>
      <c r="BF136" s="416">
        <v>4</v>
      </c>
      <c r="BG136" s="416"/>
      <c r="BH136" s="416"/>
      <c r="BI136" s="416"/>
      <c r="BJ136" s="416"/>
      <c r="BK136" s="416"/>
      <c r="BL136" s="416"/>
      <c r="BM136" s="416"/>
      <c r="BN136" s="416"/>
      <c r="BO136" s="416"/>
      <c r="BP136" s="416"/>
      <c r="BQ136" s="416"/>
      <c r="BR136" s="416"/>
      <c r="BS136" s="416"/>
      <c r="BT136" s="416"/>
      <c r="BU136" s="416"/>
      <c r="BV136" s="416">
        <v>5</v>
      </c>
      <c r="BW136" s="416"/>
      <c r="BX136" s="416"/>
      <c r="BY136" s="416"/>
      <c r="BZ136" s="416"/>
      <c r="CA136" s="416"/>
      <c r="CB136" s="416"/>
      <c r="CC136" s="416"/>
      <c r="CD136" s="416"/>
      <c r="CE136" s="416"/>
      <c r="CF136" s="416"/>
      <c r="CG136" s="416"/>
      <c r="CH136" s="416"/>
      <c r="CI136" s="416"/>
      <c r="CJ136" s="416"/>
      <c r="CK136" s="416"/>
      <c r="CL136" s="416">
        <v>6</v>
      </c>
      <c r="CM136" s="416"/>
      <c r="CN136" s="416"/>
      <c r="CO136" s="416"/>
      <c r="CP136" s="416"/>
      <c r="CQ136" s="416"/>
      <c r="CR136" s="416"/>
      <c r="CS136" s="416"/>
      <c r="CT136" s="416"/>
      <c r="CU136" s="416"/>
      <c r="CV136" s="416"/>
      <c r="CW136" s="416"/>
      <c r="CX136" s="416"/>
      <c r="CY136" s="416"/>
      <c r="CZ136" s="416"/>
      <c r="DA136" s="416"/>
    </row>
    <row r="137" spans="1:132" s="80" customFormat="1" ht="14.25">
      <c r="A137" s="407" t="s">
        <v>169</v>
      </c>
      <c r="B137" s="407"/>
      <c r="C137" s="407"/>
      <c r="D137" s="407"/>
      <c r="E137" s="407"/>
      <c r="F137" s="407"/>
      <c r="G137" s="407"/>
      <c r="H137" s="434" t="s">
        <v>529</v>
      </c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6"/>
      <c r="AP137" s="409">
        <v>52</v>
      </c>
      <c r="AQ137" s="409"/>
      <c r="AR137" s="409"/>
      <c r="AS137" s="409"/>
      <c r="AT137" s="409"/>
      <c r="AU137" s="409"/>
      <c r="AV137" s="409"/>
      <c r="AW137" s="409"/>
      <c r="AX137" s="409"/>
      <c r="AY137" s="409"/>
      <c r="AZ137" s="409"/>
      <c r="BA137" s="409"/>
      <c r="BB137" s="409"/>
      <c r="BC137" s="409"/>
      <c r="BD137" s="409"/>
      <c r="BE137" s="409"/>
      <c r="BF137" s="409">
        <v>12</v>
      </c>
      <c r="BG137" s="409"/>
      <c r="BH137" s="409"/>
      <c r="BI137" s="409"/>
      <c r="BJ137" s="409"/>
      <c r="BK137" s="409"/>
      <c r="BL137" s="409"/>
      <c r="BM137" s="409"/>
      <c r="BN137" s="409"/>
      <c r="BO137" s="409"/>
      <c r="BP137" s="409"/>
      <c r="BQ137" s="409"/>
      <c r="BR137" s="409"/>
      <c r="BS137" s="409"/>
      <c r="BT137" s="409"/>
      <c r="BU137" s="409"/>
      <c r="BV137" s="471">
        <v>250</v>
      </c>
      <c r="BW137" s="409"/>
      <c r="BX137" s="409"/>
      <c r="BY137" s="409"/>
      <c r="BZ137" s="409"/>
      <c r="CA137" s="409"/>
      <c r="CB137" s="409"/>
      <c r="CC137" s="409"/>
      <c r="CD137" s="409"/>
      <c r="CE137" s="409"/>
      <c r="CF137" s="409"/>
      <c r="CG137" s="409"/>
      <c r="CH137" s="409"/>
      <c r="CI137" s="409"/>
      <c r="CJ137" s="409"/>
      <c r="CK137" s="409"/>
      <c r="CL137" s="471">
        <f>AP137*BF137*BV137</f>
        <v>156000</v>
      </c>
      <c r="CM137" s="471"/>
      <c r="CN137" s="471"/>
      <c r="CO137" s="471"/>
      <c r="CP137" s="471"/>
      <c r="CQ137" s="471"/>
      <c r="CR137" s="471"/>
      <c r="CS137" s="471"/>
      <c r="CT137" s="471"/>
      <c r="CU137" s="471"/>
      <c r="CV137" s="471"/>
      <c r="CW137" s="471"/>
      <c r="CX137" s="471"/>
      <c r="CY137" s="471"/>
      <c r="CZ137" s="471"/>
      <c r="DA137" s="471"/>
      <c r="EB137" s="111"/>
    </row>
    <row r="138" spans="1:256" ht="10.5" customHeight="1">
      <c r="A138" s="407" t="s">
        <v>37</v>
      </c>
      <c r="B138" s="407"/>
      <c r="C138" s="407"/>
      <c r="D138" s="407"/>
      <c r="E138" s="407"/>
      <c r="F138" s="407"/>
      <c r="G138" s="407"/>
      <c r="H138" s="434" t="s">
        <v>530</v>
      </c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6"/>
      <c r="AP138" s="409">
        <v>54</v>
      </c>
      <c r="AQ138" s="409"/>
      <c r="AR138" s="409"/>
      <c r="AS138" s="409"/>
      <c r="AT138" s="409"/>
      <c r="AU138" s="409"/>
      <c r="AV138" s="409"/>
      <c r="AW138" s="409"/>
      <c r="AX138" s="409"/>
      <c r="AY138" s="409"/>
      <c r="AZ138" s="409"/>
      <c r="BA138" s="409"/>
      <c r="BB138" s="409"/>
      <c r="BC138" s="409"/>
      <c r="BD138" s="409"/>
      <c r="BE138" s="409"/>
      <c r="BF138" s="409">
        <v>12</v>
      </c>
      <c r="BG138" s="409"/>
      <c r="BH138" s="409"/>
      <c r="BI138" s="409"/>
      <c r="BJ138" s="409"/>
      <c r="BK138" s="409"/>
      <c r="BL138" s="409"/>
      <c r="BM138" s="409"/>
      <c r="BN138" s="409"/>
      <c r="BO138" s="409"/>
      <c r="BP138" s="409"/>
      <c r="BQ138" s="409"/>
      <c r="BR138" s="409"/>
      <c r="BS138" s="409"/>
      <c r="BT138" s="409"/>
      <c r="BU138" s="409"/>
      <c r="BV138" s="471">
        <v>600</v>
      </c>
      <c r="BW138" s="471"/>
      <c r="BX138" s="471"/>
      <c r="BY138" s="471"/>
      <c r="BZ138" s="471"/>
      <c r="CA138" s="471"/>
      <c r="CB138" s="471"/>
      <c r="CC138" s="471"/>
      <c r="CD138" s="471"/>
      <c r="CE138" s="471"/>
      <c r="CF138" s="471"/>
      <c r="CG138" s="471"/>
      <c r="CH138" s="471"/>
      <c r="CI138" s="471"/>
      <c r="CJ138" s="471"/>
      <c r="CK138" s="471"/>
      <c r="CL138" s="471">
        <f>AP138*BF138*BV138-800</f>
        <v>388000</v>
      </c>
      <c r="CM138" s="471"/>
      <c r="CN138" s="471"/>
      <c r="CO138" s="471"/>
      <c r="CP138" s="471"/>
      <c r="CQ138" s="471"/>
      <c r="CR138" s="471"/>
      <c r="CS138" s="471"/>
      <c r="CT138" s="471"/>
      <c r="CU138" s="471"/>
      <c r="CV138" s="471"/>
      <c r="CW138" s="471"/>
      <c r="CX138" s="471"/>
      <c r="CY138" s="471"/>
      <c r="CZ138" s="471"/>
      <c r="DA138" s="471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409"/>
      <c r="IS138" s="409"/>
      <c r="IT138" s="409"/>
      <c r="IU138" s="409"/>
      <c r="IV138" s="409"/>
    </row>
    <row r="139" spans="1:251" ht="10.5" customHeight="1">
      <c r="A139" s="407" t="s">
        <v>38</v>
      </c>
      <c r="B139" s="407"/>
      <c r="C139" s="407"/>
      <c r="D139" s="407"/>
      <c r="E139" s="407"/>
      <c r="F139" s="407"/>
      <c r="G139" s="407"/>
      <c r="H139" s="434" t="s">
        <v>367</v>
      </c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6"/>
      <c r="AP139" s="409">
        <v>1</v>
      </c>
      <c r="AQ139" s="409"/>
      <c r="AR139" s="409"/>
      <c r="AS139" s="409"/>
      <c r="AT139" s="409"/>
      <c r="AU139" s="409"/>
      <c r="AV139" s="409"/>
      <c r="AW139" s="409"/>
      <c r="AX139" s="409"/>
      <c r="AY139" s="409"/>
      <c r="AZ139" s="409"/>
      <c r="BA139" s="409"/>
      <c r="BB139" s="409"/>
      <c r="BC139" s="409"/>
      <c r="BD139" s="409"/>
      <c r="BE139" s="409"/>
      <c r="BF139" s="409">
        <v>12</v>
      </c>
      <c r="BG139" s="409"/>
      <c r="BH139" s="409"/>
      <c r="BI139" s="409"/>
      <c r="BJ139" s="409"/>
      <c r="BK139" s="409"/>
      <c r="BL139" s="409"/>
      <c r="BM139" s="409"/>
      <c r="BN139" s="409"/>
      <c r="BO139" s="409"/>
      <c r="BP139" s="409"/>
      <c r="BQ139" s="409"/>
      <c r="BR139" s="409"/>
      <c r="BS139" s="409"/>
      <c r="BT139" s="409"/>
      <c r="BU139" s="409"/>
      <c r="BV139" s="471">
        <v>20000</v>
      </c>
      <c r="BW139" s="471"/>
      <c r="BX139" s="471"/>
      <c r="BY139" s="471"/>
      <c r="BZ139" s="471"/>
      <c r="CA139" s="471"/>
      <c r="CB139" s="471"/>
      <c r="CC139" s="471"/>
      <c r="CD139" s="471"/>
      <c r="CE139" s="471"/>
      <c r="CF139" s="471"/>
      <c r="CG139" s="471"/>
      <c r="CH139" s="471"/>
      <c r="CI139" s="471"/>
      <c r="CJ139" s="471"/>
      <c r="CK139" s="471"/>
      <c r="CL139" s="471">
        <f>AP139*BF139*BV139</f>
        <v>240000</v>
      </c>
      <c r="CM139" s="471"/>
      <c r="CN139" s="471"/>
      <c r="CO139" s="471"/>
      <c r="CP139" s="471"/>
      <c r="CQ139" s="471"/>
      <c r="CR139" s="471"/>
      <c r="CS139" s="471"/>
      <c r="CT139" s="471"/>
      <c r="CU139" s="471"/>
      <c r="CV139" s="471"/>
      <c r="CW139" s="471"/>
      <c r="CX139" s="471"/>
      <c r="CY139" s="471"/>
      <c r="CZ139" s="471"/>
      <c r="DA139" s="471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</row>
    <row r="140" spans="1:256" ht="10.5" customHeight="1">
      <c r="A140" s="407" t="s">
        <v>319</v>
      </c>
      <c r="B140" s="407"/>
      <c r="C140" s="407"/>
      <c r="D140" s="407"/>
      <c r="E140" s="407"/>
      <c r="F140" s="407"/>
      <c r="G140" s="407"/>
      <c r="H140" s="434" t="s">
        <v>370</v>
      </c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6"/>
      <c r="AP140" s="409">
        <v>1</v>
      </c>
      <c r="AQ140" s="409"/>
      <c r="AR140" s="409"/>
      <c r="AS140" s="409"/>
      <c r="AT140" s="409"/>
      <c r="AU140" s="409"/>
      <c r="AV140" s="409"/>
      <c r="AW140" s="409"/>
      <c r="AX140" s="409"/>
      <c r="AY140" s="409"/>
      <c r="AZ140" s="409"/>
      <c r="BA140" s="409"/>
      <c r="BB140" s="409"/>
      <c r="BC140" s="409"/>
      <c r="BD140" s="409"/>
      <c r="BE140" s="409"/>
      <c r="BF140" s="409">
        <v>100</v>
      </c>
      <c r="BG140" s="409"/>
      <c r="BH140" s="409"/>
      <c r="BI140" s="409"/>
      <c r="BJ140" s="409"/>
      <c r="BK140" s="409"/>
      <c r="BL140" s="409"/>
      <c r="BM140" s="409"/>
      <c r="BN140" s="409"/>
      <c r="BO140" s="409"/>
      <c r="BP140" s="409"/>
      <c r="BQ140" s="409"/>
      <c r="BR140" s="409"/>
      <c r="BS140" s="409"/>
      <c r="BT140" s="409"/>
      <c r="BU140" s="409"/>
      <c r="BV140" s="471">
        <v>160</v>
      </c>
      <c r="BW140" s="471"/>
      <c r="BX140" s="471"/>
      <c r="BY140" s="471"/>
      <c r="BZ140" s="471"/>
      <c r="CA140" s="471"/>
      <c r="CB140" s="471"/>
      <c r="CC140" s="471"/>
      <c r="CD140" s="471"/>
      <c r="CE140" s="471"/>
      <c r="CF140" s="471"/>
      <c r="CG140" s="471"/>
      <c r="CH140" s="471"/>
      <c r="CI140" s="471"/>
      <c r="CJ140" s="471"/>
      <c r="CK140" s="471"/>
      <c r="CL140" s="471">
        <f>AP140*BF140*BV140</f>
        <v>16000</v>
      </c>
      <c r="CM140" s="471"/>
      <c r="CN140" s="471"/>
      <c r="CO140" s="471"/>
      <c r="CP140" s="471"/>
      <c r="CQ140" s="471"/>
      <c r="CR140" s="471"/>
      <c r="CS140" s="471"/>
      <c r="CT140" s="471"/>
      <c r="CU140" s="471"/>
      <c r="CV140" s="471"/>
      <c r="CW140" s="471"/>
      <c r="CX140" s="471"/>
      <c r="CY140" s="471"/>
      <c r="CZ140" s="471"/>
      <c r="DA140" s="471"/>
      <c r="DB140" s="102"/>
      <c r="DC140" s="80"/>
      <c r="DD140" s="80"/>
      <c r="DE140" s="80"/>
      <c r="DF140" s="80"/>
      <c r="DG140" s="80"/>
      <c r="DH140" s="80"/>
      <c r="DI140" s="80"/>
      <c r="DJ140" s="80"/>
      <c r="DK140" s="80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  <c r="FU140" s="105"/>
      <c r="FV140" s="105"/>
      <c r="FW140" s="105"/>
      <c r="FX140" s="105"/>
      <c r="FY140" s="105"/>
      <c r="FZ140" s="105"/>
      <c r="GA140" s="105"/>
      <c r="GB140" s="105"/>
      <c r="GC140" s="105"/>
      <c r="GD140" s="105"/>
      <c r="GE140" s="105"/>
      <c r="GF140" s="105"/>
      <c r="GG140" s="105"/>
      <c r="GH140" s="105"/>
      <c r="GI140" s="105"/>
      <c r="GJ140" s="105"/>
      <c r="GK140" s="105"/>
      <c r="GL140" s="105"/>
      <c r="GM140" s="105"/>
      <c r="GN140" s="105"/>
      <c r="GO140" s="105"/>
      <c r="GP140" s="105"/>
      <c r="GQ140" s="105"/>
      <c r="GR140" s="105"/>
      <c r="GS140" s="105"/>
      <c r="GT140" s="105"/>
      <c r="GU140" s="105"/>
      <c r="GV140" s="105"/>
      <c r="GW140" s="105"/>
      <c r="GX140" s="105"/>
      <c r="GY140" s="105"/>
      <c r="GZ140" s="105"/>
      <c r="HA140" s="105"/>
      <c r="HB140" s="105"/>
      <c r="HC140" s="103"/>
      <c r="HD140" s="103"/>
      <c r="HE140" s="103"/>
      <c r="HF140" s="103"/>
      <c r="HG140" s="103"/>
      <c r="HH140" s="103"/>
      <c r="HI140" s="103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5"/>
      <c r="IS140" s="105"/>
      <c r="IT140" s="105"/>
      <c r="IU140" s="105"/>
      <c r="IV140" s="105"/>
    </row>
    <row r="141" spans="1:251" s="82" customFormat="1" ht="18" customHeight="1">
      <c r="A141" s="407"/>
      <c r="B141" s="407"/>
      <c r="C141" s="407"/>
      <c r="D141" s="407"/>
      <c r="E141" s="407"/>
      <c r="F141" s="407"/>
      <c r="G141" s="407"/>
      <c r="H141" s="609" t="s">
        <v>284</v>
      </c>
      <c r="I141" s="610"/>
      <c r="J141" s="610"/>
      <c r="K141" s="610"/>
      <c r="L141" s="610"/>
      <c r="M141" s="610"/>
      <c r="N141" s="610"/>
      <c r="O141" s="610"/>
      <c r="P141" s="610"/>
      <c r="Q141" s="610"/>
      <c r="R141" s="610"/>
      <c r="S141" s="610"/>
      <c r="T141" s="610"/>
      <c r="U141" s="610"/>
      <c r="V141" s="610"/>
      <c r="W141" s="610"/>
      <c r="X141" s="610"/>
      <c r="Y141" s="610"/>
      <c r="Z141" s="610"/>
      <c r="AA141" s="610"/>
      <c r="AB141" s="610"/>
      <c r="AC141" s="610"/>
      <c r="AD141" s="610"/>
      <c r="AE141" s="610"/>
      <c r="AF141" s="610"/>
      <c r="AG141" s="610"/>
      <c r="AH141" s="610"/>
      <c r="AI141" s="610"/>
      <c r="AJ141" s="610"/>
      <c r="AK141" s="610"/>
      <c r="AL141" s="610"/>
      <c r="AM141" s="610"/>
      <c r="AN141" s="610"/>
      <c r="AO141" s="611"/>
      <c r="AP141" s="409" t="s">
        <v>234</v>
      </c>
      <c r="AQ141" s="409"/>
      <c r="AR141" s="409"/>
      <c r="AS141" s="409"/>
      <c r="AT141" s="409"/>
      <c r="AU141" s="409"/>
      <c r="AV141" s="409"/>
      <c r="AW141" s="409"/>
      <c r="AX141" s="409"/>
      <c r="AY141" s="409"/>
      <c r="AZ141" s="409"/>
      <c r="BA141" s="409"/>
      <c r="BB141" s="409"/>
      <c r="BC141" s="409"/>
      <c r="BD141" s="409"/>
      <c r="BE141" s="409"/>
      <c r="BF141" s="409" t="s">
        <v>234</v>
      </c>
      <c r="BG141" s="409"/>
      <c r="BH141" s="409"/>
      <c r="BI141" s="409"/>
      <c r="BJ141" s="409"/>
      <c r="BK141" s="409"/>
      <c r="BL141" s="409"/>
      <c r="BM141" s="409"/>
      <c r="BN141" s="409"/>
      <c r="BO141" s="409"/>
      <c r="BP141" s="409"/>
      <c r="BQ141" s="409"/>
      <c r="BR141" s="409"/>
      <c r="BS141" s="409"/>
      <c r="BT141" s="409"/>
      <c r="BU141" s="409"/>
      <c r="BV141" s="409" t="s">
        <v>234</v>
      </c>
      <c r="BW141" s="409"/>
      <c r="BX141" s="409"/>
      <c r="BY141" s="409"/>
      <c r="BZ141" s="409"/>
      <c r="CA141" s="409"/>
      <c r="CB141" s="409"/>
      <c r="CC141" s="409"/>
      <c r="CD141" s="409"/>
      <c r="CE141" s="409"/>
      <c r="CF141" s="409"/>
      <c r="CG141" s="409"/>
      <c r="CH141" s="409"/>
      <c r="CI141" s="409"/>
      <c r="CJ141" s="409"/>
      <c r="CK141" s="409"/>
      <c r="CL141" s="490">
        <f>SUM(CL137:CL140)</f>
        <v>800000</v>
      </c>
      <c r="CM141" s="490"/>
      <c r="CN141" s="490"/>
      <c r="CO141" s="490"/>
      <c r="CP141" s="490"/>
      <c r="CQ141" s="490"/>
      <c r="CR141" s="490"/>
      <c r="CS141" s="490"/>
      <c r="CT141" s="490"/>
      <c r="CU141" s="490"/>
      <c r="CV141" s="490"/>
      <c r="CW141" s="490"/>
      <c r="CX141" s="490"/>
      <c r="CY141" s="490"/>
      <c r="CZ141" s="490"/>
      <c r="DA141" s="49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</row>
    <row r="142" spans="1:105" s="83" customFormat="1" ht="1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</row>
    <row r="143" spans="1:105" s="84" customFormat="1" ht="15" customHeight="1">
      <c r="A143" s="608" t="s">
        <v>531</v>
      </c>
      <c r="B143" s="608"/>
      <c r="C143" s="608"/>
      <c r="D143" s="608"/>
      <c r="E143" s="608"/>
      <c r="F143" s="608"/>
      <c r="G143" s="608"/>
      <c r="H143" s="608"/>
      <c r="I143" s="608"/>
      <c r="J143" s="608"/>
      <c r="K143" s="608"/>
      <c r="L143" s="608"/>
      <c r="M143" s="608"/>
      <c r="N143" s="608"/>
      <c r="O143" s="608"/>
      <c r="P143" s="608"/>
      <c r="Q143" s="608"/>
      <c r="R143" s="608"/>
      <c r="S143" s="608"/>
      <c r="T143" s="608"/>
      <c r="U143" s="608"/>
      <c r="V143" s="608"/>
      <c r="W143" s="608"/>
      <c r="X143" s="608"/>
      <c r="Y143" s="608"/>
      <c r="Z143" s="608"/>
      <c r="AA143" s="608"/>
      <c r="AB143" s="608"/>
      <c r="AC143" s="608"/>
      <c r="AD143" s="608"/>
      <c r="AE143" s="608"/>
      <c r="AF143" s="608"/>
      <c r="AG143" s="608"/>
      <c r="AH143" s="608"/>
      <c r="AI143" s="608"/>
      <c r="AJ143" s="608"/>
      <c r="AK143" s="608"/>
      <c r="AL143" s="608"/>
      <c r="AM143" s="608"/>
      <c r="AN143" s="608"/>
      <c r="AO143" s="608"/>
      <c r="AP143" s="608"/>
      <c r="AQ143" s="608"/>
      <c r="AR143" s="608"/>
      <c r="AS143" s="608"/>
      <c r="AT143" s="608"/>
      <c r="AU143" s="608"/>
      <c r="AV143" s="608"/>
      <c r="AW143" s="608"/>
      <c r="AX143" s="608"/>
      <c r="AY143" s="608"/>
      <c r="AZ143" s="608"/>
      <c r="BA143" s="608"/>
      <c r="BB143" s="608"/>
      <c r="BC143" s="608"/>
      <c r="BD143" s="608"/>
      <c r="BE143" s="608"/>
      <c r="BF143" s="608"/>
      <c r="BG143" s="608"/>
      <c r="BH143" s="608"/>
      <c r="BI143" s="608"/>
      <c r="BJ143" s="608"/>
      <c r="BK143" s="608"/>
      <c r="BL143" s="608"/>
      <c r="BM143" s="608"/>
      <c r="BN143" s="608"/>
      <c r="BO143" s="608"/>
      <c r="BP143" s="608"/>
      <c r="BQ143" s="608"/>
      <c r="BR143" s="608"/>
      <c r="BS143" s="608"/>
      <c r="BT143" s="608"/>
      <c r="BU143" s="608"/>
      <c r="BV143" s="608"/>
      <c r="BW143" s="608"/>
      <c r="BX143" s="608"/>
      <c r="BY143" s="608"/>
      <c r="BZ143" s="608"/>
      <c r="CA143" s="608"/>
      <c r="CB143" s="608"/>
      <c r="CC143" s="608"/>
      <c r="CD143" s="608"/>
      <c r="CE143" s="608"/>
      <c r="CF143" s="608"/>
      <c r="CG143" s="608"/>
      <c r="CH143" s="608"/>
      <c r="CI143" s="608"/>
      <c r="CJ143" s="608"/>
      <c r="CK143" s="608"/>
      <c r="CL143" s="608"/>
      <c r="CM143" s="608"/>
      <c r="CN143" s="608"/>
      <c r="CO143" s="608"/>
      <c r="CP143" s="608"/>
      <c r="CQ143" s="608"/>
      <c r="CR143" s="608"/>
      <c r="CS143" s="608"/>
      <c r="CT143" s="608"/>
      <c r="CU143" s="608"/>
      <c r="CV143" s="608"/>
      <c r="CW143" s="608"/>
      <c r="CX143" s="608"/>
      <c r="CY143" s="608"/>
      <c r="CZ143" s="608"/>
      <c r="DA143" s="608"/>
    </row>
    <row r="144" spans="1:105" s="84" customFormat="1" ht="15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</row>
    <row r="145" spans="1:105" s="84" customFormat="1" ht="24" customHeight="1">
      <c r="A145" s="419" t="s">
        <v>192</v>
      </c>
      <c r="B145" s="420"/>
      <c r="C145" s="420"/>
      <c r="D145" s="420"/>
      <c r="E145" s="420"/>
      <c r="F145" s="420"/>
      <c r="G145" s="421"/>
      <c r="H145" s="201" t="s">
        <v>273</v>
      </c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3"/>
      <c r="BD145" s="419" t="s">
        <v>286</v>
      </c>
      <c r="BE145" s="420"/>
      <c r="BF145" s="420"/>
      <c r="BG145" s="420"/>
      <c r="BH145" s="420"/>
      <c r="BI145" s="420"/>
      <c r="BJ145" s="420"/>
      <c r="BK145" s="420"/>
      <c r="BL145" s="420"/>
      <c r="BM145" s="420"/>
      <c r="BN145" s="420"/>
      <c r="BO145" s="420"/>
      <c r="BP145" s="420"/>
      <c r="BQ145" s="420"/>
      <c r="BR145" s="420"/>
      <c r="BS145" s="421"/>
      <c r="BT145" s="419" t="s">
        <v>287</v>
      </c>
      <c r="BU145" s="420"/>
      <c r="BV145" s="420"/>
      <c r="BW145" s="420"/>
      <c r="BX145" s="420"/>
      <c r="BY145" s="420"/>
      <c r="BZ145" s="420"/>
      <c r="CA145" s="420"/>
      <c r="CB145" s="420"/>
      <c r="CC145" s="420"/>
      <c r="CD145" s="420"/>
      <c r="CE145" s="420"/>
      <c r="CF145" s="420"/>
      <c r="CG145" s="420"/>
      <c r="CH145" s="420"/>
      <c r="CI145" s="421"/>
      <c r="CJ145" s="419" t="s">
        <v>288</v>
      </c>
      <c r="CK145" s="420"/>
      <c r="CL145" s="420"/>
      <c r="CM145" s="420"/>
      <c r="CN145" s="420"/>
      <c r="CO145" s="420"/>
      <c r="CP145" s="420"/>
      <c r="CQ145" s="420"/>
      <c r="CR145" s="420"/>
      <c r="CS145" s="420"/>
      <c r="CT145" s="420"/>
      <c r="CU145" s="420"/>
      <c r="CV145" s="420"/>
      <c r="CW145" s="420"/>
      <c r="CX145" s="420"/>
      <c r="CY145" s="420"/>
      <c r="CZ145" s="420"/>
      <c r="DA145" s="421"/>
    </row>
    <row r="146" spans="1:105" ht="12" customHeight="1">
      <c r="A146" s="416">
        <v>1</v>
      </c>
      <c r="B146" s="416"/>
      <c r="C146" s="416"/>
      <c r="D146" s="416"/>
      <c r="E146" s="416"/>
      <c r="F146" s="416"/>
      <c r="G146" s="416"/>
      <c r="H146" s="196">
        <v>2</v>
      </c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8"/>
      <c r="BD146" s="416">
        <v>3</v>
      </c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416"/>
      <c r="BP146" s="416"/>
      <c r="BQ146" s="416"/>
      <c r="BR146" s="416"/>
      <c r="BS146" s="416"/>
      <c r="BT146" s="416">
        <v>4</v>
      </c>
      <c r="BU146" s="416"/>
      <c r="BV146" s="416"/>
      <c r="BW146" s="416"/>
      <c r="BX146" s="416"/>
      <c r="BY146" s="416"/>
      <c r="BZ146" s="416"/>
      <c r="CA146" s="416"/>
      <c r="CB146" s="416"/>
      <c r="CC146" s="416"/>
      <c r="CD146" s="416"/>
      <c r="CE146" s="416"/>
      <c r="CF146" s="416"/>
      <c r="CG146" s="416"/>
      <c r="CH146" s="416"/>
      <c r="CI146" s="416"/>
      <c r="CJ146" s="416">
        <v>5</v>
      </c>
      <c r="CK146" s="416"/>
      <c r="CL146" s="416"/>
      <c r="CM146" s="416"/>
      <c r="CN146" s="416"/>
      <c r="CO146" s="416"/>
      <c r="CP146" s="416"/>
      <c r="CQ146" s="416"/>
      <c r="CR146" s="416"/>
      <c r="CS146" s="416"/>
      <c r="CT146" s="416"/>
      <c r="CU146" s="416"/>
      <c r="CV146" s="416"/>
      <c r="CW146" s="416"/>
      <c r="CX146" s="416"/>
      <c r="CY146" s="416"/>
      <c r="CZ146" s="416"/>
      <c r="DA146" s="416"/>
    </row>
    <row r="147" spans="1:105" s="80" customFormat="1" ht="14.25">
      <c r="A147" s="407" t="s">
        <v>169</v>
      </c>
      <c r="B147" s="407"/>
      <c r="C147" s="407"/>
      <c r="D147" s="407"/>
      <c r="E147" s="407"/>
      <c r="F147" s="407"/>
      <c r="G147" s="407"/>
      <c r="H147" s="434" t="s">
        <v>372</v>
      </c>
      <c r="I147" s="435"/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35"/>
      <c r="AE147" s="435"/>
      <c r="AF147" s="435"/>
      <c r="AG147" s="435"/>
      <c r="AH147" s="435"/>
      <c r="AI147" s="435"/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6"/>
      <c r="BD147" s="471">
        <v>2</v>
      </c>
      <c r="BE147" s="471"/>
      <c r="BF147" s="471"/>
      <c r="BG147" s="471"/>
      <c r="BH147" s="471"/>
      <c r="BI147" s="471"/>
      <c r="BJ147" s="471"/>
      <c r="BK147" s="471"/>
      <c r="BL147" s="471"/>
      <c r="BM147" s="471"/>
      <c r="BN147" s="471"/>
      <c r="BO147" s="471"/>
      <c r="BP147" s="471"/>
      <c r="BQ147" s="471"/>
      <c r="BR147" s="471"/>
      <c r="BS147" s="471"/>
      <c r="BT147" s="471">
        <v>100000</v>
      </c>
      <c r="BU147" s="471"/>
      <c r="BV147" s="471"/>
      <c r="BW147" s="471"/>
      <c r="BX147" s="471"/>
      <c r="BY147" s="471"/>
      <c r="BZ147" s="471"/>
      <c r="CA147" s="471"/>
      <c r="CB147" s="471"/>
      <c r="CC147" s="471"/>
      <c r="CD147" s="471"/>
      <c r="CE147" s="471"/>
      <c r="CF147" s="471"/>
      <c r="CG147" s="471"/>
      <c r="CH147" s="471"/>
      <c r="CI147" s="471"/>
      <c r="CJ147" s="471">
        <f>BD147*BT147</f>
        <v>200000</v>
      </c>
      <c r="CK147" s="471"/>
      <c r="CL147" s="471"/>
      <c r="CM147" s="471"/>
      <c r="CN147" s="471"/>
      <c r="CO147" s="471"/>
      <c r="CP147" s="471"/>
      <c r="CQ147" s="471"/>
      <c r="CR147" s="471"/>
      <c r="CS147" s="471"/>
      <c r="CT147" s="471"/>
      <c r="CU147" s="471"/>
      <c r="CV147" s="471"/>
      <c r="CW147" s="471"/>
      <c r="CX147" s="471"/>
      <c r="CY147" s="471"/>
      <c r="CZ147" s="471"/>
      <c r="DA147" s="471"/>
    </row>
    <row r="148" spans="1:105" ht="10.5" customHeight="1">
      <c r="A148" s="407"/>
      <c r="B148" s="407"/>
      <c r="C148" s="407"/>
      <c r="D148" s="407"/>
      <c r="E148" s="407"/>
      <c r="F148" s="407"/>
      <c r="G148" s="407"/>
      <c r="H148" s="434"/>
      <c r="I148" s="435"/>
      <c r="J148" s="435"/>
      <c r="K148" s="435"/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5"/>
      <c r="AB148" s="435"/>
      <c r="AC148" s="435"/>
      <c r="AD148" s="435"/>
      <c r="AE148" s="435"/>
      <c r="AF148" s="435"/>
      <c r="AG148" s="435"/>
      <c r="AH148" s="435"/>
      <c r="AI148" s="435"/>
      <c r="AJ148" s="435"/>
      <c r="AK148" s="435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6"/>
      <c r="BD148" s="409"/>
      <c r="BE148" s="409"/>
      <c r="BF148" s="409"/>
      <c r="BG148" s="409"/>
      <c r="BH148" s="409"/>
      <c r="BI148" s="409"/>
      <c r="BJ148" s="409"/>
      <c r="BK148" s="409"/>
      <c r="BL148" s="409"/>
      <c r="BM148" s="409"/>
      <c r="BN148" s="409"/>
      <c r="BO148" s="409"/>
      <c r="BP148" s="409"/>
      <c r="BQ148" s="409"/>
      <c r="BR148" s="409"/>
      <c r="BS148" s="409"/>
      <c r="BT148" s="409"/>
      <c r="BU148" s="409"/>
      <c r="BV148" s="409"/>
      <c r="BW148" s="409"/>
      <c r="BX148" s="409"/>
      <c r="BY148" s="409"/>
      <c r="BZ148" s="409"/>
      <c r="CA148" s="409"/>
      <c r="CB148" s="409"/>
      <c r="CC148" s="409"/>
      <c r="CD148" s="409"/>
      <c r="CE148" s="409"/>
      <c r="CF148" s="409"/>
      <c r="CG148" s="409"/>
      <c r="CH148" s="409"/>
      <c r="CI148" s="409"/>
      <c r="CJ148" s="409"/>
      <c r="CK148" s="409"/>
      <c r="CL148" s="409"/>
      <c r="CM148" s="409"/>
      <c r="CN148" s="409"/>
      <c r="CO148" s="409"/>
      <c r="CP148" s="409"/>
      <c r="CQ148" s="409"/>
      <c r="CR148" s="409"/>
      <c r="CS148" s="409"/>
      <c r="CT148" s="409"/>
      <c r="CU148" s="409"/>
      <c r="CV148" s="409"/>
      <c r="CW148" s="409"/>
      <c r="CX148" s="409"/>
      <c r="CY148" s="409"/>
      <c r="CZ148" s="409"/>
      <c r="DA148" s="409"/>
    </row>
    <row r="149" spans="1:105" s="82" customFormat="1" ht="18.75" customHeight="1">
      <c r="A149" s="407"/>
      <c r="B149" s="407"/>
      <c r="C149" s="407"/>
      <c r="D149" s="407"/>
      <c r="E149" s="407"/>
      <c r="F149" s="407"/>
      <c r="G149" s="407"/>
      <c r="H149" s="477" t="s">
        <v>233</v>
      </c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/>
      <c r="AG149" s="478"/>
      <c r="AH149" s="478"/>
      <c r="AI149" s="478"/>
      <c r="AJ149" s="478"/>
      <c r="AK149" s="478"/>
      <c r="AL149" s="478"/>
      <c r="AM149" s="478"/>
      <c r="AN149" s="478"/>
      <c r="AO149" s="478"/>
      <c r="AP149" s="478"/>
      <c r="AQ149" s="478"/>
      <c r="AR149" s="478"/>
      <c r="AS149" s="478"/>
      <c r="AT149" s="478"/>
      <c r="AU149" s="478"/>
      <c r="AV149" s="478"/>
      <c r="AW149" s="478"/>
      <c r="AX149" s="478"/>
      <c r="AY149" s="478"/>
      <c r="AZ149" s="478"/>
      <c r="BA149" s="478"/>
      <c r="BB149" s="478"/>
      <c r="BC149" s="479"/>
      <c r="BD149" s="409"/>
      <c r="BE149" s="409"/>
      <c r="BF149" s="409"/>
      <c r="BG149" s="409"/>
      <c r="BH149" s="409"/>
      <c r="BI149" s="409"/>
      <c r="BJ149" s="409"/>
      <c r="BK149" s="409"/>
      <c r="BL149" s="409"/>
      <c r="BM149" s="409"/>
      <c r="BN149" s="409"/>
      <c r="BO149" s="409"/>
      <c r="BP149" s="409"/>
      <c r="BQ149" s="409"/>
      <c r="BR149" s="409"/>
      <c r="BS149" s="409"/>
      <c r="BT149" s="409"/>
      <c r="BU149" s="409"/>
      <c r="BV149" s="409"/>
      <c r="BW149" s="409"/>
      <c r="BX149" s="409"/>
      <c r="BY149" s="409"/>
      <c r="BZ149" s="409"/>
      <c r="CA149" s="409"/>
      <c r="CB149" s="409"/>
      <c r="CC149" s="409"/>
      <c r="CD149" s="409"/>
      <c r="CE149" s="409"/>
      <c r="CF149" s="409"/>
      <c r="CG149" s="409"/>
      <c r="CH149" s="409"/>
      <c r="CI149" s="409"/>
      <c r="CJ149" s="490">
        <f>SUM(CJ147:CJ148)</f>
        <v>200000</v>
      </c>
      <c r="CK149" s="413"/>
      <c r="CL149" s="413"/>
      <c r="CM149" s="413"/>
      <c r="CN149" s="413"/>
      <c r="CO149" s="413"/>
      <c r="CP149" s="413"/>
      <c r="CQ149" s="413"/>
      <c r="CR149" s="413"/>
      <c r="CS149" s="413"/>
      <c r="CT149" s="413"/>
      <c r="CU149" s="413"/>
      <c r="CV149" s="413"/>
      <c r="CW149" s="413"/>
      <c r="CX149" s="413"/>
      <c r="CY149" s="413"/>
      <c r="CZ149" s="413"/>
      <c r="DA149" s="413"/>
    </row>
    <row r="150" spans="1:105" s="83" customFormat="1" ht="1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</row>
    <row r="151" spans="1:105" s="84" customFormat="1" ht="15" customHeight="1">
      <c r="A151" s="199" t="s">
        <v>532</v>
      </c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199"/>
      <c r="CG151" s="199"/>
      <c r="CH151" s="199"/>
      <c r="CI151" s="199"/>
      <c r="CJ151" s="199"/>
      <c r="CK151" s="199"/>
      <c r="CL151" s="199"/>
      <c r="CM151" s="199"/>
      <c r="CN151" s="199"/>
      <c r="CO151" s="199"/>
      <c r="CP151" s="199"/>
      <c r="CQ151" s="199"/>
      <c r="CR151" s="199"/>
      <c r="CS151" s="199"/>
      <c r="CT151" s="199"/>
      <c r="CU151" s="199"/>
      <c r="CV151" s="199"/>
      <c r="CW151" s="199"/>
      <c r="CX151" s="199"/>
      <c r="CY151" s="199"/>
      <c r="CZ151" s="199"/>
      <c r="DA151" s="199"/>
    </row>
    <row r="152" spans="1:132" s="84" customFormat="1" ht="1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EB152" s="110"/>
    </row>
    <row r="153" spans="1:105" s="84" customFormat="1" ht="39" customHeight="1">
      <c r="A153" s="201" t="s">
        <v>192</v>
      </c>
      <c r="B153" s="202"/>
      <c r="C153" s="202"/>
      <c r="D153" s="202"/>
      <c r="E153" s="202"/>
      <c r="F153" s="202"/>
      <c r="G153" s="203"/>
      <c r="H153" s="201" t="s">
        <v>0</v>
      </c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3"/>
      <c r="AP153" s="201" t="s">
        <v>290</v>
      </c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3"/>
      <c r="BF153" s="201" t="s">
        <v>291</v>
      </c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3"/>
      <c r="BV153" s="201" t="s">
        <v>292</v>
      </c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3"/>
      <c r="CL153" s="201" t="s">
        <v>293</v>
      </c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3"/>
    </row>
    <row r="154" spans="1:105" ht="12" customHeight="1">
      <c r="A154" s="416">
        <v>1</v>
      </c>
      <c r="B154" s="416"/>
      <c r="C154" s="416"/>
      <c r="D154" s="416"/>
      <c r="E154" s="416"/>
      <c r="F154" s="416"/>
      <c r="G154" s="416"/>
      <c r="H154" s="196">
        <v>2</v>
      </c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8"/>
      <c r="AP154" s="416">
        <v>4</v>
      </c>
      <c r="AQ154" s="416"/>
      <c r="AR154" s="416"/>
      <c r="AS154" s="416"/>
      <c r="AT154" s="416"/>
      <c r="AU154" s="416"/>
      <c r="AV154" s="416"/>
      <c r="AW154" s="416"/>
      <c r="AX154" s="416"/>
      <c r="AY154" s="416"/>
      <c r="AZ154" s="416"/>
      <c r="BA154" s="416"/>
      <c r="BB154" s="416"/>
      <c r="BC154" s="416"/>
      <c r="BD154" s="416"/>
      <c r="BE154" s="416"/>
      <c r="BF154" s="416">
        <v>5</v>
      </c>
      <c r="BG154" s="416"/>
      <c r="BH154" s="416"/>
      <c r="BI154" s="416"/>
      <c r="BJ154" s="416"/>
      <c r="BK154" s="416"/>
      <c r="BL154" s="416"/>
      <c r="BM154" s="416"/>
      <c r="BN154" s="416"/>
      <c r="BO154" s="416"/>
      <c r="BP154" s="416"/>
      <c r="BQ154" s="416"/>
      <c r="BR154" s="416"/>
      <c r="BS154" s="416"/>
      <c r="BT154" s="416"/>
      <c r="BU154" s="416"/>
      <c r="BV154" s="416">
        <v>6</v>
      </c>
      <c r="BW154" s="416"/>
      <c r="BX154" s="416"/>
      <c r="BY154" s="416"/>
      <c r="BZ154" s="416"/>
      <c r="CA154" s="416"/>
      <c r="CB154" s="416"/>
      <c r="CC154" s="416"/>
      <c r="CD154" s="416"/>
      <c r="CE154" s="416"/>
      <c r="CF154" s="416"/>
      <c r="CG154" s="416"/>
      <c r="CH154" s="416"/>
      <c r="CI154" s="416"/>
      <c r="CJ154" s="416"/>
      <c r="CK154" s="416"/>
      <c r="CL154" s="416">
        <v>6</v>
      </c>
      <c r="CM154" s="416"/>
      <c r="CN154" s="416"/>
      <c r="CO154" s="416"/>
      <c r="CP154" s="416"/>
      <c r="CQ154" s="416"/>
      <c r="CR154" s="416"/>
      <c r="CS154" s="416"/>
      <c r="CT154" s="416"/>
      <c r="CU154" s="416"/>
      <c r="CV154" s="416"/>
      <c r="CW154" s="416"/>
      <c r="CX154" s="416"/>
      <c r="CY154" s="416"/>
      <c r="CZ154" s="416"/>
      <c r="DA154" s="416"/>
    </row>
    <row r="155" spans="1:105" ht="12" customHeight="1">
      <c r="A155" s="407" t="s">
        <v>169</v>
      </c>
      <c r="B155" s="407"/>
      <c r="C155" s="407"/>
      <c r="D155" s="407"/>
      <c r="E155" s="407"/>
      <c r="F155" s="407"/>
      <c r="G155" s="407"/>
      <c r="H155" s="434" t="s">
        <v>374</v>
      </c>
      <c r="I155" s="435"/>
      <c r="J155" s="435"/>
      <c r="K155" s="435"/>
      <c r="L155" s="435"/>
      <c r="M155" s="435"/>
      <c r="N155" s="435"/>
      <c r="O155" s="435"/>
      <c r="P155" s="435"/>
      <c r="Q155" s="435"/>
      <c r="R155" s="435"/>
      <c r="S155" s="435"/>
      <c r="T155" s="435"/>
      <c r="U155" s="435"/>
      <c r="V155" s="435"/>
      <c r="W155" s="435"/>
      <c r="X155" s="435"/>
      <c r="Y155" s="435"/>
      <c r="Z155" s="435"/>
      <c r="AA155" s="435"/>
      <c r="AB155" s="435"/>
      <c r="AC155" s="435"/>
      <c r="AD155" s="435"/>
      <c r="AE155" s="435"/>
      <c r="AF155" s="435"/>
      <c r="AG155" s="435"/>
      <c r="AH155" s="435"/>
      <c r="AI155" s="435"/>
      <c r="AJ155" s="435"/>
      <c r="AK155" s="435"/>
      <c r="AL155" s="435"/>
      <c r="AM155" s="435"/>
      <c r="AN155" s="435"/>
      <c r="AO155" s="436"/>
      <c r="AP155" s="471">
        <v>1013.97</v>
      </c>
      <c r="AQ155" s="471"/>
      <c r="AR155" s="471"/>
      <c r="AS155" s="471"/>
      <c r="AT155" s="471"/>
      <c r="AU155" s="471"/>
      <c r="AV155" s="471"/>
      <c r="AW155" s="471"/>
      <c r="AX155" s="471"/>
      <c r="AY155" s="471"/>
      <c r="AZ155" s="471"/>
      <c r="BA155" s="471"/>
      <c r="BB155" s="471"/>
      <c r="BC155" s="471"/>
      <c r="BD155" s="471"/>
      <c r="BE155" s="471"/>
      <c r="BF155" s="471">
        <f>1699.8*1.18</f>
        <v>2005.76</v>
      </c>
      <c r="BG155" s="471"/>
      <c r="BH155" s="471"/>
      <c r="BI155" s="471"/>
      <c r="BJ155" s="471"/>
      <c r="BK155" s="471"/>
      <c r="BL155" s="471"/>
      <c r="BM155" s="471"/>
      <c r="BN155" s="471"/>
      <c r="BO155" s="471"/>
      <c r="BP155" s="471"/>
      <c r="BQ155" s="471"/>
      <c r="BR155" s="471"/>
      <c r="BS155" s="471"/>
      <c r="BT155" s="471"/>
      <c r="BU155" s="471"/>
      <c r="BV155" s="471"/>
      <c r="BW155" s="471"/>
      <c r="BX155" s="471"/>
      <c r="BY155" s="471"/>
      <c r="BZ155" s="471"/>
      <c r="CA155" s="471"/>
      <c r="CB155" s="471"/>
      <c r="CC155" s="471"/>
      <c r="CD155" s="471"/>
      <c r="CE155" s="471"/>
      <c r="CF155" s="471"/>
      <c r="CG155" s="471"/>
      <c r="CH155" s="471"/>
      <c r="CI155" s="471"/>
      <c r="CJ155" s="471"/>
      <c r="CK155" s="471"/>
      <c r="CL155" s="471">
        <f>AP155*BF155</f>
        <v>2033780.47</v>
      </c>
      <c r="CM155" s="471"/>
      <c r="CN155" s="471"/>
      <c r="CO155" s="471"/>
      <c r="CP155" s="471"/>
      <c r="CQ155" s="471"/>
      <c r="CR155" s="471"/>
      <c r="CS155" s="471"/>
      <c r="CT155" s="471"/>
      <c r="CU155" s="471"/>
      <c r="CV155" s="471"/>
      <c r="CW155" s="471"/>
      <c r="CX155" s="471"/>
      <c r="CY155" s="471"/>
      <c r="CZ155" s="471"/>
      <c r="DA155" s="471"/>
    </row>
    <row r="156" spans="1:105" ht="12" customHeight="1">
      <c r="A156" s="407" t="s">
        <v>37</v>
      </c>
      <c r="B156" s="407"/>
      <c r="C156" s="407"/>
      <c r="D156" s="407"/>
      <c r="E156" s="407"/>
      <c r="F156" s="407"/>
      <c r="G156" s="407"/>
      <c r="H156" s="434" t="s">
        <v>375</v>
      </c>
      <c r="I156" s="43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35"/>
      <c r="U156" s="435"/>
      <c r="V156" s="435"/>
      <c r="W156" s="435"/>
      <c r="X156" s="435"/>
      <c r="Y156" s="435"/>
      <c r="Z156" s="435"/>
      <c r="AA156" s="435"/>
      <c r="AB156" s="435"/>
      <c r="AC156" s="435"/>
      <c r="AD156" s="435"/>
      <c r="AE156" s="435"/>
      <c r="AF156" s="435"/>
      <c r="AG156" s="435"/>
      <c r="AH156" s="435"/>
      <c r="AI156" s="435"/>
      <c r="AJ156" s="435"/>
      <c r="AK156" s="435"/>
      <c r="AL156" s="435"/>
      <c r="AM156" s="435"/>
      <c r="AN156" s="435"/>
      <c r="AO156" s="436"/>
      <c r="AP156" s="471">
        <v>8206.79</v>
      </c>
      <c r="AQ156" s="471"/>
      <c r="AR156" s="471"/>
      <c r="AS156" s="471"/>
      <c r="AT156" s="471"/>
      <c r="AU156" s="471"/>
      <c r="AV156" s="471"/>
      <c r="AW156" s="471"/>
      <c r="AX156" s="471"/>
      <c r="AY156" s="471"/>
      <c r="AZ156" s="471"/>
      <c r="BA156" s="471"/>
      <c r="BB156" s="471"/>
      <c r="BC156" s="471"/>
      <c r="BD156" s="471"/>
      <c r="BE156" s="471"/>
      <c r="BF156" s="471">
        <f>17.31*1.18</f>
        <v>20.43</v>
      </c>
      <c r="BG156" s="471"/>
      <c r="BH156" s="471"/>
      <c r="BI156" s="471"/>
      <c r="BJ156" s="471"/>
      <c r="BK156" s="471"/>
      <c r="BL156" s="471"/>
      <c r="BM156" s="471"/>
      <c r="BN156" s="471"/>
      <c r="BO156" s="471"/>
      <c r="BP156" s="471"/>
      <c r="BQ156" s="471"/>
      <c r="BR156" s="471"/>
      <c r="BS156" s="471"/>
      <c r="BT156" s="471"/>
      <c r="BU156" s="471"/>
      <c r="BV156" s="471"/>
      <c r="BW156" s="471"/>
      <c r="BX156" s="471"/>
      <c r="BY156" s="471"/>
      <c r="BZ156" s="471"/>
      <c r="CA156" s="471"/>
      <c r="CB156" s="471"/>
      <c r="CC156" s="471"/>
      <c r="CD156" s="471"/>
      <c r="CE156" s="471"/>
      <c r="CF156" s="471"/>
      <c r="CG156" s="471"/>
      <c r="CH156" s="471"/>
      <c r="CI156" s="471"/>
      <c r="CJ156" s="471"/>
      <c r="CK156" s="471"/>
      <c r="CL156" s="471">
        <f>AP156*BF156</f>
        <v>167664.72</v>
      </c>
      <c r="CM156" s="471"/>
      <c r="CN156" s="471"/>
      <c r="CO156" s="471"/>
      <c r="CP156" s="471"/>
      <c r="CQ156" s="471"/>
      <c r="CR156" s="471"/>
      <c r="CS156" s="471"/>
      <c r="CT156" s="471"/>
      <c r="CU156" s="471"/>
      <c r="CV156" s="471"/>
      <c r="CW156" s="471"/>
      <c r="CX156" s="471"/>
      <c r="CY156" s="471"/>
      <c r="CZ156" s="471"/>
      <c r="DA156" s="471"/>
    </row>
    <row r="157" spans="1:105" ht="12" customHeight="1">
      <c r="A157" s="407" t="s">
        <v>38</v>
      </c>
      <c r="B157" s="407"/>
      <c r="C157" s="407"/>
      <c r="D157" s="407"/>
      <c r="E157" s="407"/>
      <c r="F157" s="407"/>
      <c r="G157" s="407"/>
      <c r="H157" s="434" t="s">
        <v>376</v>
      </c>
      <c r="I157" s="43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35"/>
      <c r="U157" s="435"/>
      <c r="V157" s="435"/>
      <c r="W157" s="435"/>
      <c r="X157" s="435"/>
      <c r="Y157" s="435"/>
      <c r="Z157" s="435"/>
      <c r="AA157" s="435"/>
      <c r="AB157" s="435"/>
      <c r="AC157" s="435"/>
      <c r="AD157" s="435"/>
      <c r="AE157" s="435"/>
      <c r="AF157" s="435"/>
      <c r="AG157" s="435"/>
      <c r="AH157" s="435"/>
      <c r="AI157" s="435"/>
      <c r="AJ157" s="435"/>
      <c r="AK157" s="435"/>
      <c r="AL157" s="435"/>
      <c r="AM157" s="435"/>
      <c r="AN157" s="435"/>
      <c r="AO157" s="436"/>
      <c r="AP157" s="471">
        <v>380000</v>
      </c>
      <c r="AQ157" s="471"/>
      <c r="AR157" s="471"/>
      <c r="AS157" s="471"/>
      <c r="AT157" s="471"/>
      <c r="AU157" s="471"/>
      <c r="AV157" s="471"/>
      <c r="AW157" s="471"/>
      <c r="AX157" s="471"/>
      <c r="AY157" s="471"/>
      <c r="AZ157" s="471"/>
      <c r="BA157" s="471"/>
      <c r="BB157" s="471"/>
      <c r="BC157" s="471"/>
      <c r="BD157" s="471"/>
      <c r="BE157" s="471"/>
      <c r="BF157" s="471">
        <f>6.6</f>
        <v>6.6</v>
      </c>
      <c r="BG157" s="471"/>
      <c r="BH157" s="471"/>
      <c r="BI157" s="471"/>
      <c r="BJ157" s="471"/>
      <c r="BK157" s="471"/>
      <c r="BL157" s="471"/>
      <c r="BM157" s="471"/>
      <c r="BN157" s="471"/>
      <c r="BO157" s="471"/>
      <c r="BP157" s="471"/>
      <c r="BQ157" s="471"/>
      <c r="BR157" s="471"/>
      <c r="BS157" s="471"/>
      <c r="BT157" s="471"/>
      <c r="BU157" s="471"/>
      <c r="BV157" s="471"/>
      <c r="BW157" s="471"/>
      <c r="BX157" s="471"/>
      <c r="BY157" s="471"/>
      <c r="BZ157" s="471"/>
      <c r="CA157" s="471"/>
      <c r="CB157" s="471"/>
      <c r="CC157" s="471"/>
      <c r="CD157" s="471"/>
      <c r="CE157" s="471"/>
      <c r="CF157" s="471"/>
      <c r="CG157" s="471"/>
      <c r="CH157" s="471"/>
      <c r="CI157" s="471"/>
      <c r="CJ157" s="471"/>
      <c r="CK157" s="471"/>
      <c r="CL157" s="471">
        <f>AP157*BF157</f>
        <v>2508000</v>
      </c>
      <c r="CM157" s="471"/>
      <c r="CN157" s="471"/>
      <c r="CO157" s="471"/>
      <c r="CP157" s="471"/>
      <c r="CQ157" s="471"/>
      <c r="CR157" s="471"/>
      <c r="CS157" s="471"/>
      <c r="CT157" s="471"/>
      <c r="CU157" s="471"/>
      <c r="CV157" s="471"/>
      <c r="CW157" s="471"/>
      <c r="CX157" s="471"/>
      <c r="CY157" s="471"/>
      <c r="CZ157" s="471"/>
      <c r="DA157" s="471"/>
    </row>
    <row r="158" spans="1:105" ht="12" customHeight="1">
      <c r="A158" s="407" t="s">
        <v>319</v>
      </c>
      <c r="B158" s="407"/>
      <c r="C158" s="407"/>
      <c r="D158" s="407"/>
      <c r="E158" s="407"/>
      <c r="F158" s="407"/>
      <c r="G158" s="407"/>
      <c r="H158" s="434" t="s">
        <v>533</v>
      </c>
      <c r="I158" s="435"/>
      <c r="J158" s="435"/>
      <c r="K158" s="435"/>
      <c r="L158" s="435"/>
      <c r="M158" s="435"/>
      <c r="N158" s="435"/>
      <c r="O158" s="435"/>
      <c r="P158" s="435"/>
      <c r="Q158" s="435"/>
      <c r="R158" s="435"/>
      <c r="S158" s="435"/>
      <c r="T158" s="435"/>
      <c r="U158" s="435"/>
      <c r="V158" s="435"/>
      <c r="W158" s="435"/>
      <c r="X158" s="435"/>
      <c r="Y158" s="435"/>
      <c r="Z158" s="435"/>
      <c r="AA158" s="435"/>
      <c r="AB158" s="435"/>
      <c r="AC158" s="435"/>
      <c r="AD158" s="435"/>
      <c r="AE158" s="435"/>
      <c r="AF158" s="435"/>
      <c r="AG158" s="435"/>
      <c r="AH158" s="435"/>
      <c r="AI158" s="435"/>
      <c r="AJ158" s="435"/>
      <c r="AK158" s="435"/>
      <c r="AL158" s="435"/>
      <c r="AM158" s="435"/>
      <c r="AN158" s="435"/>
      <c r="AO158" s="436"/>
      <c r="AP158" s="471">
        <v>209</v>
      </c>
      <c r="AQ158" s="471"/>
      <c r="AR158" s="471"/>
      <c r="AS158" s="471"/>
      <c r="AT158" s="471"/>
      <c r="AU158" s="471"/>
      <c r="AV158" s="471"/>
      <c r="AW158" s="471"/>
      <c r="AX158" s="471"/>
      <c r="AY158" s="471"/>
      <c r="AZ158" s="471"/>
      <c r="BA158" s="471"/>
      <c r="BB158" s="471"/>
      <c r="BC158" s="471"/>
      <c r="BD158" s="471"/>
      <c r="BE158" s="471"/>
      <c r="BF158" s="471">
        <v>61.4</v>
      </c>
      <c r="BG158" s="471"/>
      <c r="BH158" s="471"/>
      <c r="BI158" s="471"/>
      <c r="BJ158" s="471"/>
      <c r="BK158" s="471"/>
      <c r="BL158" s="471"/>
      <c r="BM158" s="471"/>
      <c r="BN158" s="471"/>
      <c r="BO158" s="471"/>
      <c r="BP158" s="471"/>
      <c r="BQ158" s="471"/>
      <c r="BR158" s="471"/>
      <c r="BS158" s="471"/>
      <c r="BT158" s="471"/>
      <c r="BU158" s="471"/>
      <c r="BV158" s="471"/>
      <c r="BW158" s="471"/>
      <c r="BX158" s="471"/>
      <c r="BY158" s="471"/>
      <c r="BZ158" s="471"/>
      <c r="CA158" s="471"/>
      <c r="CB158" s="471"/>
      <c r="CC158" s="471"/>
      <c r="CD158" s="471"/>
      <c r="CE158" s="471"/>
      <c r="CF158" s="471"/>
      <c r="CG158" s="471"/>
      <c r="CH158" s="471"/>
      <c r="CI158" s="471"/>
      <c r="CJ158" s="471"/>
      <c r="CK158" s="471"/>
      <c r="CL158" s="471">
        <f>AP158*BF158*12</f>
        <v>153991.2</v>
      </c>
      <c r="CM158" s="471"/>
      <c r="CN158" s="471"/>
      <c r="CO158" s="471"/>
      <c r="CP158" s="471"/>
      <c r="CQ158" s="471"/>
      <c r="CR158" s="471"/>
      <c r="CS158" s="471"/>
      <c r="CT158" s="471"/>
      <c r="CU158" s="471"/>
      <c r="CV158" s="471"/>
      <c r="CW158" s="471"/>
      <c r="CX158" s="471"/>
      <c r="CY158" s="471"/>
      <c r="CZ158" s="471"/>
      <c r="DA158" s="471"/>
    </row>
    <row r="159" spans="1:105" ht="12" customHeight="1">
      <c r="A159" s="407" t="s">
        <v>320</v>
      </c>
      <c r="B159" s="407"/>
      <c r="C159" s="407"/>
      <c r="D159" s="407"/>
      <c r="E159" s="407"/>
      <c r="F159" s="407"/>
      <c r="G159" s="407"/>
      <c r="H159" s="434" t="s">
        <v>377</v>
      </c>
      <c r="I159" s="435"/>
      <c r="J159" s="435"/>
      <c r="K159" s="435"/>
      <c r="L159" s="435"/>
      <c r="M159" s="435"/>
      <c r="N159" s="435"/>
      <c r="O159" s="435"/>
      <c r="P159" s="435"/>
      <c r="Q159" s="435"/>
      <c r="R159" s="435"/>
      <c r="S159" s="435"/>
      <c r="T159" s="435"/>
      <c r="U159" s="435"/>
      <c r="V159" s="435"/>
      <c r="W159" s="435"/>
      <c r="X159" s="435"/>
      <c r="Y159" s="435"/>
      <c r="Z159" s="435"/>
      <c r="AA159" s="435"/>
      <c r="AB159" s="435"/>
      <c r="AC159" s="435"/>
      <c r="AD159" s="435"/>
      <c r="AE159" s="435"/>
      <c r="AF159" s="435"/>
      <c r="AG159" s="435"/>
      <c r="AH159" s="435"/>
      <c r="AI159" s="435"/>
      <c r="AJ159" s="435"/>
      <c r="AK159" s="435"/>
      <c r="AL159" s="435"/>
      <c r="AM159" s="435"/>
      <c r="AN159" s="435"/>
      <c r="AO159" s="436"/>
      <c r="AP159" s="471">
        <v>13480</v>
      </c>
      <c r="AQ159" s="471"/>
      <c r="AR159" s="471"/>
      <c r="AS159" s="471"/>
      <c r="AT159" s="471"/>
      <c r="AU159" s="471"/>
      <c r="AV159" s="471"/>
      <c r="AW159" s="471"/>
      <c r="AX159" s="471"/>
      <c r="AY159" s="471"/>
      <c r="AZ159" s="471"/>
      <c r="BA159" s="471"/>
      <c r="BB159" s="471"/>
      <c r="BC159" s="471"/>
      <c r="BD159" s="471"/>
      <c r="BE159" s="471"/>
      <c r="BF159" s="471">
        <f>17.31*1.18</f>
        <v>20.43</v>
      </c>
      <c r="BG159" s="471"/>
      <c r="BH159" s="471"/>
      <c r="BI159" s="471"/>
      <c r="BJ159" s="471"/>
      <c r="BK159" s="471"/>
      <c r="BL159" s="471"/>
      <c r="BM159" s="471"/>
      <c r="BN159" s="471"/>
      <c r="BO159" s="471"/>
      <c r="BP159" s="471"/>
      <c r="BQ159" s="471"/>
      <c r="BR159" s="471"/>
      <c r="BS159" s="471"/>
      <c r="BT159" s="471"/>
      <c r="BU159" s="471"/>
      <c r="BV159" s="471"/>
      <c r="BW159" s="471"/>
      <c r="BX159" s="471"/>
      <c r="BY159" s="471"/>
      <c r="BZ159" s="471"/>
      <c r="CA159" s="471"/>
      <c r="CB159" s="471"/>
      <c r="CC159" s="471"/>
      <c r="CD159" s="471"/>
      <c r="CE159" s="471"/>
      <c r="CF159" s="471"/>
      <c r="CG159" s="471"/>
      <c r="CH159" s="471"/>
      <c r="CI159" s="471"/>
      <c r="CJ159" s="471"/>
      <c r="CK159" s="471"/>
      <c r="CL159" s="471">
        <f>AP159*BF159</f>
        <v>275396.4</v>
      </c>
      <c r="CM159" s="471"/>
      <c r="CN159" s="471"/>
      <c r="CO159" s="471"/>
      <c r="CP159" s="471"/>
      <c r="CQ159" s="471"/>
      <c r="CR159" s="471"/>
      <c r="CS159" s="471"/>
      <c r="CT159" s="471"/>
      <c r="CU159" s="471"/>
      <c r="CV159" s="471"/>
      <c r="CW159" s="471"/>
      <c r="CX159" s="471"/>
      <c r="CY159" s="471"/>
      <c r="CZ159" s="471"/>
      <c r="DA159" s="471"/>
    </row>
    <row r="160" spans="1:105" ht="12" customHeight="1">
      <c r="A160" s="407" t="s">
        <v>321</v>
      </c>
      <c r="B160" s="407"/>
      <c r="C160" s="407"/>
      <c r="D160" s="407"/>
      <c r="E160" s="407"/>
      <c r="F160" s="407"/>
      <c r="G160" s="407"/>
      <c r="H160" s="434" t="s">
        <v>378</v>
      </c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5"/>
      <c r="AO160" s="436"/>
      <c r="AP160" s="471">
        <v>23845.44</v>
      </c>
      <c r="AQ160" s="471"/>
      <c r="AR160" s="471"/>
      <c r="AS160" s="471"/>
      <c r="AT160" s="471"/>
      <c r="AU160" s="471"/>
      <c r="AV160" s="471"/>
      <c r="AW160" s="471"/>
      <c r="AX160" s="471"/>
      <c r="AY160" s="471"/>
      <c r="AZ160" s="471"/>
      <c r="BA160" s="471"/>
      <c r="BB160" s="471"/>
      <c r="BC160" s="471"/>
      <c r="BD160" s="471"/>
      <c r="BE160" s="471"/>
      <c r="BF160" s="471">
        <f>21.22*1.18</f>
        <v>25.04</v>
      </c>
      <c r="BG160" s="471"/>
      <c r="BH160" s="471"/>
      <c r="BI160" s="471"/>
      <c r="BJ160" s="471"/>
      <c r="BK160" s="471"/>
      <c r="BL160" s="471"/>
      <c r="BM160" s="471"/>
      <c r="BN160" s="471"/>
      <c r="BO160" s="471"/>
      <c r="BP160" s="471"/>
      <c r="BQ160" s="471"/>
      <c r="BR160" s="471"/>
      <c r="BS160" s="471"/>
      <c r="BT160" s="471"/>
      <c r="BU160" s="471"/>
      <c r="BV160" s="471"/>
      <c r="BW160" s="471"/>
      <c r="BX160" s="471"/>
      <c r="BY160" s="471"/>
      <c r="BZ160" s="471"/>
      <c r="CA160" s="471"/>
      <c r="CB160" s="471"/>
      <c r="CC160" s="471"/>
      <c r="CD160" s="471"/>
      <c r="CE160" s="471"/>
      <c r="CF160" s="471"/>
      <c r="CG160" s="471"/>
      <c r="CH160" s="471"/>
      <c r="CI160" s="471"/>
      <c r="CJ160" s="471"/>
      <c r="CK160" s="471"/>
      <c r="CL160" s="471">
        <f>AP160*BF160</f>
        <v>597089.82</v>
      </c>
      <c r="CM160" s="471"/>
      <c r="CN160" s="471"/>
      <c r="CO160" s="471"/>
      <c r="CP160" s="471"/>
      <c r="CQ160" s="471"/>
      <c r="CR160" s="471"/>
      <c r="CS160" s="471"/>
      <c r="CT160" s="471"/>
      <c r="CU160" s="471"/>
      <c r="CV160" s="471"/>
      <c r="CW160" s="471"/>
      <c r="CX160" s="471"/>
      <c r="CY160" s="471"/>
      <c r="CZ160" s="471"/>
      <c r="DA160" s="471"/>
    </row>
    <row r="161" spans="1:105" ht="39" customHeight="1">
      <c r="A161" s="407" t="s">
        <v>322</v>
      </c>
      <c r="B161" s="407"/>
      <c r="C161" s="407"/>
      <c r="D161" s="407"/>
      <c r="E161" s="407"/>
      <c r="F161" s="407"/>
      <c r="G161" s="407"/>
      <c r="H161" s="434" t="s">
        <v>534</v>
      </c>
      <c r="I161" s="435"/>
      <c r="J161" s="435"/>
      <c r="K161" s="435"/>
      <c r="L161" s="435"/>
      <c r="M161" s="435"/>
      <c r="N161" s="435"/>
      <c r="O161" s="435"/>
      <c r="P161" s="435"/>
      <c r="Q161" s="435"/>
      <c r="R161" s="435"/>
      <c r="S161" s="435"/>
      <c r="T161" s="435"/>
      <c r="U161" s="435"/>
      <c r="V161" s="435"/>
      <c r="W161" s="435"/>
      <c r="X161" s="435"/>
      <c r="Y161" s="435"/>
      <c r="Z161" s="435"/>
      <c r="AA161" s="435"/>
      <c r="AB161" s="435"/>
      <c r="AC161" s="435"/>
      <c r="AD161" s="435"/>
      <c r="AE161" s="435"/>
      <c r="AF161" s="435"/>
      <c r="AG161" s="435"/>
      <c r="AH161" s="435"/>
      <c r="AI161" s="435"/>
      <c r="AJ161" s="435"/>
      <c r="AK161" s="435"/>
      <c r="AL161" s="435"/>
      <c r="AM161" s="435"/>
      <c r="AN161" s="435"/>
      <c r="AO161" s="436"/>
      <c r="AP161" s="471"/>
      <c r="AQ161" s="471"/>
      <c r="AR161" s="471"/>
      <c r="AS161" s="471"/>
      <c r="AT161" s="471"/>
      <c r="AU161" s="471"/>
      <c r="AV161" s="471"/>
      <c r="AW161" s="471"/>
      <c r="AX161" s="471"/>
      <c r="AY161" s="471"/>
      <c r="AZ161" s="471"/>
      <c r="BA161" s="471"/>
      <c r="BB161" s="471"/>
      <c r="BC161" s="471"/>
      <c r="BD161" s="471"/>
      <c r="BE161" s="471"/>
      <c r="BF161" s="471"/>
      <c r="BG161" s="471"/>
      <c r="BH161" s="471"/>
      <c r="BI161" s="471"/>
      <c r="BJ161" s="471"/>
      <c r="BK161" s="471"/>
      <c r="BL161" s="471"/>
      <c r="BM161" s="471"/>
      <c r="BN161" s="471"/>
      <c r="BO161" s="471"/>
      <c r="BP161" s="471"/>
      <c r="BQ161" s="471"/>
      <c r="BR161" s="471"/>
      <c r="BS161" s="471"/>
      <c r="BT161" s="471"/>
      <c r="BU161" s="471"/>
      <c r="BV161" s="471"/>
      <c r="BW161" s="471"/>
      <c r="BX161" s="471"/>
      <c r="BY161" s="471"/>
      <c r="BZ161" s="471"/>
      <c r="CA161" s="471"/>
      <c r="CB161" s="471"/>
      <c r="CC161" s="471"/>
      <c r="CD161" s="471"/>
      <c r="CE161" s="471"/>
      <c r="CF161" s="471"/>
      <c r="CG161" s="471"/>
      <c r="CH161" s="471"/>
      <c r="CI161" s="471"/>
      <c r="CJ161" s="471"/>
      <c r="CK161" s="471"/>
      <c r="CL161" s="471">
        <f>1064173.96-96.57</f>
        <v>1064077.39</v>
      </c>
      <c r="CM161" s="471"/>
      <c r="CN161" s="471"/>
      <c r="CO161" s="471"/>
      <c r="CP161" s="471"/>
      <c r="CQ161" s="471"/>
      <c r="CR161" s="471"/>
      <c r="CS161" s="471"/>
      <c r="CT161" s="471"/>
      <c r="CU161" s="471"/>
      <c r="CV161" s="471"/>
      <c r="CW161" s="471"/>
      <c r="CX161" s="471"/>
      <c r="CY161" s="471"/>
      <c r="CZ161" s="471"/>
      <c r="DA161" s="471"/>
    </row>
    <row r="162" spans="1:105" ht="12" customHeight="1">
      <c r="A162" s="407"/>
      <c r="B162" s="407"/>
      <c r="C162" s="407"/>
      <c r="D162" s="407"/>
      <c r="E162" s="407"/>
      <c r="F162" s="407"/>
      <c r="G162" s="407"/>
      <c r="H162" s="477" t="s">
        <v>233</v>
      </c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  <c r="W162" s="478"/>
      <c r="X162" s="478"/>
      <c r="Y162" s="478"/>
      <c r="Z162" s="478"/>
      <c r="AA162" s="478"/>
      <c r="AB162" s="478"/>
      <c r="AC162" s="478"/>
      <c r="AD162" s="478"/>
      <c r="AE162" s="478"/>
      <c r="AF162" s="478"/>
      <c r="AG162" s="478"/>
      <c r="AH162" s="478"/>
      <c r="AI162" s="478"/>
      <c r="AJ162" s="478"/>
      <c r="AK162" s="478"/>
      <c r="AL162" s="478"/>
      <c r="AM162" s="478"/>
      <c r="AN162" s="478"/>
      <c r="AO162" s="479"/>
      <c r="AP162" s="413" t="s">
        <v>234</v>
      </c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3"/>
      <c r="BF162" s="413" t="s">
        <v>234</v>
      </c>
      <c r="BG162" s="413"/>
      <c r="BH162" s="413"/>
      <c r="BI162" s="413"/>
      <c r="BJ162" s="413"/>
      <c r="BK162" s="413"/>
      <c r="BL162" s="413"/>
      <c r="BM162" s="413"/>
      <c r="BN162" s="413"/>
      <c r="BO162" s="413"/>
      <c r="BP162" s="413"/>
      <c r="BQ162" s="413"/>
      <c r="BR162" s="413"/>
      <c r="BS162" s="413"/>
      <c r="BT162" s="413"/>
      <c r="BU162" s="413"/>
      <c r="BV162" s="413" t="s">
        <v>234</v>
      </c>
      <c r="BW162" s="413"/>
      <c r="BX162" s="413"/>
      <c r="BY162" s="413"/>
      <c r="BZ162" s="413"/>
      <c r="CA162" s="413"/>
      <c r="CB162" s="413"/>
      <c r="CC162" s="413"/>
      <c r="CD162" s="413"/>
      <c r="CE162" s="413"/>
      <c r="CF162" s="413"/>
      <c r="CG162" s="413"/>
      <c r="CH162" s="413"/>
      <c r="CI162" s="413"/>
      <c r="CJ162" s="413"/>
      <c r="CK162" s="413"/>
      <c r="CL162" s="490">
        <f>SUM(CL155:CL161)</f>
        <v>6800000</v>
      </c>
      <c r="CM162" s="413"/>
      <c r="CN162" s="413"/>
      <c r="CO162" s="413"/>
      <c r="CP162" s="413"/>
      <c r="CQ162" s="413"/>
      <c r="CR162" s="413"/>
      <c r="CS162" s="413"/>
      <c r="CT162" s="413"/>
      <c r="CU162" s="413"/>
      <c r="CV162" s="413"/>
      <c r="CW162" s="413"/>
      <c r="CX162" s="413"/>
      <c r="CY162" s="413"/>
      <c r="CZ162" s="413"/>
      <c r="DA162" s="413"/>
    </row>
    <row r="163" spans="1:105" s="83" customFormat="1" ht="1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</row>
    <row r="164" spans="1:105" s="84" customFormat="1" ht="15" customHeight="1">
      <c r="A164" s="199" t="s">
        <v>535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</row>
    <row r="165" spans="1:105" s="84" customFormat="1" ht="15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</row>
    <row r="166" spans="1:105" s="84" customFormat="1" ht="23.25" customHeight="1">
      <c r="A166" s="419" t="s">
        <v>192</v>
      </c>
      <c r="B166" s="420"/>
      <c r="C166" s="420"/>
      <c r="D166" s="420"/>
      <c r="E166" s="420"/>
      <c r="F166" s="420"/>
      <c r="G166" s="421"/>
      <c r="H166" s="201" t="s">
        <v>0</v>
      </c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203"/>
      <c r="BD166" s="419" t="s">
        <v>295</v>
      </c>
      <c r="BE166" s="420"/>
      <c r="BF166" s="420"/>
      <c r="BG166" s="420"/>
      <c r="BH166" s="420"/>
      <c r="BI166" s="420"/>
      <c r="BJ166" s="420"/>
      <c r="BK166" s="420"/>
      <c r="BL166" s="420"/>
      <c r="BM166" s="420"/>
      <c r="BN166" s="420"/>
      <c r="BO166" s="420"/>
      <c r="BP166" s="420"/>
      <c r="BQ166" s="420"/>
      <c r="BR166" s="420"/>
      <c r="BS166" s="421"/>
      <c r="BT166" s="419" t="s">
        <v>296</v>
      </c>
      <c r="BU166" s="420"/>
      <c r="BV166" s="420"/>
      <c r="BW166" s="420"/>
      <c r="BX166" s="420"/>
      <c r="BY166" s="420"/>
      <c r="BZ166" s="420"/>
      <c r="CA166" s="420"/>
      <c r="CB166" s="420"/>
      <c r="CC166" s="420"/>
      <c r="CD166" s="420"/>
      <c r="CE166" s="420"/>
      <c r="CF166" s="420"/>
      <c r="CG166" s="420"/>
      <c r="CH166" s="420"/>
      <c r="CI166" s="421"/>
      <c r="CJ166" s="419" t="s">
        <v>297</v>
      </c>
      <c r="CK166" s="420"/>
      <c r="CL166" s="420"/>
      <c r="CM166" s="420"/>
      <c r="CN166" s="420"/>
      <c r="CO166" s="420"/>
      <c r="CP166" s="420"/>
      <c r="CQ166" s="420"/>
      <c r="CR166" s="420"/>
      <c r="CS166" s="420"/>
      <c r="CT166" s="420"/>
      <c r="CU166" s="420"/>
      <c r="CV166" s="420"/>
      <c r="CW166" s="420"/>
      <c r="CX166" s="420"/>
      <c r="CY166" s="420"/>
      <c r="CZ166" s="420"/>
      <c r="DA166" s="421"/>
    </row>
    <row r="167" spans="1:105" ht="12" customHeight="1">
      <c r="A167" s="416">
        <v>1</v>
      </c>
      <c r="B167" s="416"/>
      <c r="C167" s="416"/>
      <c r="D167" s="416"/>
      <c r="E167" s="416"/>
      <c r="F167" s="416"/>
      <c r="G167" s="416"/>
      <c r="H167" s="196">
        <v>2</v>
      </c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8"/>
      <c r="BD167" s="416">
        <v>4</v>
      </c>
      <c r="BE167" s="416"/>
      <c r="BF167" s="416"/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>
        <v>5</v>
      </c>
      <c r="BU167" s="416"/>
      <c r="BV167" s="416"/>
      <c r="BW167" s="416"/>
      <c r="BX167" s="416"/>
      <c r="BY167" s="416"/>
      <c r="BZ167" s="416"/>
      <c r="CA167" s="416"/>
      <c r="CB167" s="416"/>
      <c r="CC167" s="416"/>
      <c r="CD167" s="416"/>
      <c r="CE167" s="416"/>
      <c r="CF167" s="416"/>
      <c r="CG167" s="416"/>
      <c r="CH167" s="416"/>
      <c r="CI167" s="416"/>
      <c r="CJ167" s="416">
        <v>6</v>
      </c>
      <c r="CK167" s="416"/>
      <c r="CL167" s="416"/>
      <c r="CM167" s="416"/>
      <c r="CN167" s="416"/>
      <c r="CO167" s="416"/>
      <c r="CP167" s="416"/>
      <c r="CQ167" s="416"/>
      <c r="CR167" s="416"/>
      <c r="CS167" s="416"/>
      <c r="CT167" s="416"/>
      <c r="CU167" s="416"/>
      <c r="CV167" s="416"/>
      <c r="CW167" s="416"/>
      <c r="CX167" s="416"/>
      <c r="CY167" s="416"/>
      <c r="CZ167" s="416"/>
      <c r="DA167" s="416"/>
    </row>
    <row r="168" spans="1:105" s="80" customFormat="1" ht="14.25">
      <c r="A168" s="407" t="s">
        <v>169</v>
      </c>
      <c r="B168" s="407"/>
      <c r="C168" s="407"/>
      <c r="D168" s="407"/>
      <c r="E168" s="407"/>
      <c r="F168" s="407"/>
      <c r="G168" s="407"/>
      <c r="H168" s="434" t="s">
        <v>536</v>
      </c>
      <c r="I168" s="435"/>
      <c r="J168" s="435"/>
      <c r="K168" s="435"/>
      <c r="L168" s="435"/>
      <c r="M168" s="435"/>
      <c r="N168" s="435"/>
      <c r="O168" s="435"/>
      <c r="P168" s="435"/>
      <c r="Q168" s="435"/>
      <c r="R168" s="435"/>
      <c r="S168" s="435"/>
      <c r="T168" s="435"/>
      <c r="U168" s="435"/>
      <c r="V168" s="435"/>
      <c r="W168" s="435"/>
      <c r="X168" s="435"/>
      <c r="Y168" s="435"/>
      <c r="Z168" s="435"/>
      <c r="AA168" s="435"/>
      <c r="AB168" s="435"/>
      <c r="AC168" s="435"/>
      <c r="AD168" s="435"/>
      <c r="AE168" s="435"/>
      <c r="AF168" s="435"/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435"/>
      <c r="AS168" s="435"/>
      <c r="AT168" s="435"/>
      <c r="AU168" s="435"/>
      <c r="AV168" s="435"/>
      <c r="AW168" s="435"/>
      <c r="AX168" s="435"/>
      <c r="AY168" s="435"/>
      <c r="AZ168" s="435"/>
      <c r="BA168" s="435"/>
      <c r="BB168" s="435"/>
      <c r="BC168" s="436"/>
      <c r="BD168" s="409"/>
      <c r="BE168" s="409"/>
      <c r="BF168" s="409"/>
      <c r="BG168" s="409"/>
      <c r="BH168" s="409"/>
      <c r="BI168" s="409"/>
      <c r="BJ168" s="409"/>
      <c r="BK168" s="409"/>
      <c r="BL168" s="409"/>
      <c r="BM168" s="409"/>
      <c r="BN168" s="409"/>
      <c r="BO168" s="409"/>
      <c r="BP168" s="409"/>
      <c r="BQ168" s="409"/>
      <c r="BR168" s="409"/>
      <c r="BS168" s="409"/>
      <c r="BT168" s="409"/>
      <c r="BU168" s="409"/>
      <c r="BV168" s="409"/>
      <c r="BW168" s="409"/>
      <c r="BX168" s="409"/>
      <c r="BY168" s="409"/>
      <c r="BZ168" s="409"/>
      <c r="CA168" s="409"/>
      <c r="CB168" s="409"/>
      <c r="CC168" s="409"/>
      <c r="CD168" s="409"/>
      <c r="CE168" s="409"/>
      <c r="CF168" s="409"/>
      <c r="CG168" s="409"/>
      <c r="CH168" s="409"/>
      <c r="CI168" s="409"/>
      <c r="CJ168" s="471">
        <v>1000000</v>
      </c>
      <c r="CK168" s="471"/>
      <c r="CL168" s="471"/>
      <c r="CM168" s="471"/>
      <c r="CN168" s="471"/>
      <c r="CO168" s="471"/>
      <c r="CP168" s="471"/>
      <c r="CQ168" s="471"/>
      <c r="CR168" s="471"/>
      <c r="CS168" s="471"/>
      <c r="CT168" s="471"/>
      <c r="CU168" s="471"/>
      <c r="CV168" s="471"/>
      <c r="CW168" s="471"/>
      <c r="CX168" s="471"/>
      <c r="CY168" s="471"/>
      <c r="CZ168" s="471"/>
      <c r="DA168" s="471"/>
    </row>
    <row r="169" spans="1:105" ht="10.5" customHeight="1">
      <c r="A169" s="407"/>
      <c r="B169" s="407"/>
      <c r="C169" s="407"/>
      <c r="D169" s="407"/>
      <c r="E169" s="407"/>
      <c r="F169" s="407"/>
      <c r="G169" s="407"/>
      <c r="H169" s="434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5"/>
      <c r="V169" s="435"/>
      <c r="W169" s="435"/>
      <c r="X169" s="435"/>
      <c r="Y169" s="435"/>
      <c r="Z169" s="435"/>
      <c r="AA169" s="435"/>
      <c r="AB169" s="435"/>
      <c r="AC169" s="435"/>
      <c r="AD169" s="435"/>
      <c r="AE169" s="435"/>
      <c r="AF169" s="435"/>
      <c r="AG169" s="435"/>
      <c r="AH169" s="435"/>
      <c r="AI169" s="435"/>
      <c r="AJ169" s="435"/>
      <c r="AK169" s="435"/>
      <c r="AL169" s="435"/>
      <c r="AM169" s="435"/>
      <c r="AN169" s="435"/>
      <c r="AO169" s="435"/>
      <c r="AP169" s="435"/>
      <c r="AQ169" s="435"/>
      <c r="AR169" s="435"/>
      <c r="AS169" s="435"/>
      <c r="AT169" s="435"/>
      <c r="AU169" s="435"/>
      <c r="AV169" s="435"/>
      <c r="AW169" s="435"/>
      <c r="AX169" s="435"/>
      <c r="AY169" s="435"/>
      <c r="AZ169" s="435"/>
      <c r="BA169" s="435"/>
      <c r="BB169" s="435"/>
      <c r="BC169" s="436"/>
      <c r="BD169" s="409"/>
      <c r="BE169" s="409"/>
      <c r="BF169" s="409"/>
      <c r="BG169" s="409"/>
      <c r="BH169" s="409"/>
      <c r="BI169" s="409"/>
      <c r="BJ169" s="409"/>
      <c r="BK169" s="409"/>
      <c r="BL169" s="409"/>
      <c r="BM169" s="409"/>
      <c r="BN169" s="409"/>
      <c r="BO169" s="409"/>
      <c r="BP169" s="409"/>
      <c r="BQ169" s="409"/>
      <c r="BR169" s="409"/>
      <c r="BS169" s="409"/>
      <c r="BT169" s="409"/>
      <c r="BU169" s="409"/>
      <c r="BV169" s="409"/>
      <c r="BW169" s="409"/>
      <c r="BX169" s="409"/>
      <c r="BY169" s="409"/>
      <c r="BZ169" s="409"/>
      <c r="CA169" s="409"/>
      <c r="CB169" s="409"/>
      <c r="CC169" s="409"/>
      <c r="CD169" s="409"/>
      <c r="CE169" s="409"/>
      <c r="CF169" s="409"/>
      <c r="CG169" s="409"/>
      <c r="CH169" s="409"/>
      <c r="CI169" s="409"/>
      <c r="CJ169" s="409"/>
      <c r="CK169" s="409"/>
      <c r="CL169" s="409"/>
      <c r="CM169" s="409"/>
      <c r="CN169" s="409"/>
      <c r="CO169" s="409"/>
      <c r="CP169" s="409"/>
      <c r="CQ169" s="409"/>
      <c r="CR169" s="409"/>
      <c r="CS169" s="409"/>
      <c r="CT169" s="409"/>
      <c r="CU169" s="409"/>
      <c r="CV169" s="409"/>
      <c r="CW169" s="409"/>
      <c r="CX169" s="409"/>
      <c r="CY169" s="409"/>
      <c r="CZ169" s="409"/>
      <c r="DA169" s="409"/>
    </row>
    <row r="170" spans="1:105" ht="30" customHeight="1">
      <c r="A170" s="407"/>
      <c r="B170" s="407"/>
      <c r="C170" s="407"/>
      <c r="D170" s="407"/>
      <c r="E170" s="407"/>
      <c r="F170" s="407"/>
      <c r="G170" s="407"/>
      <c r="H170" s="477" t="s">
        <v>233</v>
      </c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  <c r="AG170" s="478"/>
      <c r="AH170" s="478"/>
      <c r="AI170" s="478"/>
      <c r="AJ170" s="478"/>
      <c r="AK170" s="478"/>
      <c r="AL170" s="478"/>
      <c r="AM170" s="478"/>
      <c r="AN170" s="478"/>
      <c r="AO170" s="478"/>
      <c r="AP170" s="478"/>
      <c r="AQ170" s="478"/>
      <c r="AR170" s="478"/>
      <c r="AS170" s="478"/>
      <c r="AT170" s="478"/>
      <c r="AU170" s="478"/>
      <c r="AV170" s="478"/>
      <c r="AW170" s="478"/>
      <c r="AX170" s="478"/>
      <c r="AY170" s="478"/>
      <c r="AZ170" s="478"/>
      <c r="BA170" s="478"/>
      <c r="BB170" s="478"/>
      <c r="BC170" s="479"/>
      <c r="BD170" s="409" t="s">
        <v>234</v>
      </c>
      <c r="BE170" s="409"/>
      <c r="BF170" s="409"/>
      <c r="BG170" s="409"/>
      <c r="BH170" s="409"/>
      <c r="BI170" s="409"/>
      <c r="BJ170" s="409"/>
      <c r="BK170" s="409"/>
      <c r="BL170" s="409"/>
      <c r="BM170" s="409"/>
      <c r="BN170" s="409"/>
      <c r="BO170" s="409"/>
      <c r="BP170" s="409"/>
      <c r="BQ170" s="409"/>
      <c r="BR170" s="409"/>
      <c r="BS170" s="409"/>
      <c r="BT170" s="409" t="s">
        <v>234</v>
      </c>
      <c r="BU170" s="409"/>
      <c r="BV170" s="409"/>
      <c r="BW170" s="409"/>
      <c r="BX170" s="409"/>
      <c r="BY170" s="409"/>
      <c r="BZ170" s="409"/>
      <c r="CA170" s="409"/>
      <c r="CB170" s="409"/>
      <c r="CC170" s="409"/>
      <c r="CD170" s="409"/>
      <c r="CE170" s="409"/>
      <c r="CF170" s="409"/>
      <c r="CG170" s="409"/>
      <c r="CH170" s="409"/>
      <c r="CI170" s="409"/>
      <c r="CJ170" s="490">
        <f>CJ168</f>
        <v>1000000</v>
      </c>
      <c r="CK170" s="413"/>
      <c r="CL170" s="413"/>
      <c r="CM170" s="413"/>
      <c r="CN170" s="413"/>
      <c r="CO170" s="413"/>
      <c r="CP170" s="413"/>
      <c r="CQ170" s="413"/>
      <c r="CR170" s="413"/>
      <c r="CS170" s="413"/>
      <c r="CT170" s="413"/>
      <c r="CU170" s="413"/>
      <c r="CV170" s="413"/>
      <c r="CW170" s="413"/>
      <c r="CX170" s="413"/>
      <c r="CY170" s="413"/>
      <c r="CZ170" s="413"/>
      <c r="DA170" s="413"/>
    </row>
    <row r="171" spans="1:105" s="86" customFormat="1" ht="1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</row>
    <row r="172" spans="1:105" ht="15" customHeight="1">
      <c r="A172" s="608" t="s">
        <v>537</v>
      </c>
      <c r="B172" s="608"/>
      <c r="C172" s="608"/>
      <c r="D172" s="608"/>
      <c r="E172" s="608"/>
      <c r="F172" s="608"/>
      <c r="G172" s="608"/>
      <c r="H172" s="608"/>
      <c r="I172" s="608"/>
      <c r="J172" s="608"/>
      <c r="K172" s="608"/>
      <c r="L172" s="608"/>
      <c r="M172" s="608"/>
      <c r="N172" s="608"/>
      <c r="O172" s="608"/>
      <c r="P172" s="608"/>
      <c r="Q172" s="608"/>
      <c r="R172" s="608"/>
      <c r="S172" s="608"/>
      <c r="T172" s="608"/>
      <c r="U172" s="608"/>
      <c r="V172" s="608"/>
      <c r="W172" s="608"/>
      <c r="X172" s="608"/>
      <c r="Y172" s="608"/>
      <c r="Z172" s="608"/>
      <c r="AA172" s="608"/>
      <c r="AB172" s="608"/>
      <c r="AC172" s="608"/>
      <c r="AD172" s="608"/>
      <c r="AE172" s="608"/>
      <c r="AF172" s="608"/>
      <c r="AG172" s="608"/>
      <c r="AH172" s="608"/>
      <c r="AI172" s="608"/>
      <c r="AJ172" s="608"/>
      <c r="AK172" s="608"/>
      <c r="AL172" s="608"/>
      <c r="AM172" s="608"/>
      <c r="AN172" s="608"/>
      <c r="AO172" s="608"/>
      <c r="AP172" s="608"/>
      <c r="AQ172" s="608"/>
      <c r="AR172" s="608"/>
      <c r="AS172" s="608"/>
      <c r="AT172" s="608"/>
      <c r="AU172" s="608"/>
      <c r="AV172" s="608"/>
      <c r="AW172" s="608"/>
      <c r="AX172" s="608"/>
      <c r="AY172" s="608"/>
      <c r="AZ172" s="608"/>
      <c r="BA172" s="608"/>
      <c r="BB172" s="608"/>
      <c r="BC172" s="608"/>
      <c r="BD172" s="608"/>
      <c r="BE172" s="608"/>
      <c r="BF172" s="608"/>
      <c r="BG172" s="608"/>
      <c r="BH172" s="608"/>
      <c r="BI172" s="608"/>
      <c r="BJ172" s="608"/>
      <c r="BK172" s="608"/>
      <c r="BL172" s="608"/>
      <c r="BM172" s="608"/>
      <c r="BN172" s="608"/>
      <c r="BO172" s="608"/>
      <c r="BP172" s="608"/>
      <c r="BQ172" s="608"/>
      <c r="BR172" s="608"/>
      <c r="BS172" s="608"/>
      <c r="BT172" s="608"/>
      <c r="BU172" s="608"/>
      <c r="BV172" s="608"/>
      <c r="BW172" s="608"/>
      <c r="BX172" s="608"/>
      <c r="BY172" s="608"/>
      <c r="BZ172" s="608"/>
      <c r="CA172" s="608"/>
      <c r="CB172" s="608"/>
      <c r="CC172" s="608"/>
      <c r="CD172" s="608"/>
      <c r="CE172" s="608"/>
      <c r="CF172" s="608"/>
      <c r="CG172" s="608"/>
      <c r="CH172" s="608"/>
      <c r="CI172" s="608"/>
      <c r="CJ172" s="608"/>
      <c r="CK172" s="608"/>
      <c r="CL172" s="608"/>
      <c r="CM172" s="608"/>
      <c r="CN172" s="608"/>
      <c r="CO172" s="608"/>
      <c r="CP172" s="608"/>
      <c r="CQ172" s="608"/>
      <c r="CR172" s="608"/>
      <c r="CS172" s="608"/>
      <c r="CT172" s="608"/>
      <c r="CU172" s="608"/>
      <c r="CV172" s="608"/>
      <c r="CW172" s="608"/>
      <c r="CX172" s="608"/>
      <c r="CY172" s="608"/>
      <c r="CZ172" s="608"/>
      <c r="DA172" s="608"/>
    </row>
    <row r="173" ht="15" customHeight="1"/>
    <row r="174" spans="1:105" ht="26.25" customHeight="1">
      <c r="A174" s="419" t="s">
        <v>192</v>
      </c>
      <c r="B174" s="420"/>
      <c r="C174" s="420"/>
      <c r="D174" s="420"/>
      <c r="E174" s="420"/>
      <c r="F174" s="420"/>
      <c r="G174" s="421"/>
      <c r="H174" s="201" t="s">
        <v>273</v>
      </c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3"/>
      <c r="BD174" s="419" t="s">
        <v>299</v>
      </c>
      <c r="BE174" s="420"/>
      <c r="BF174" s="420"/>
      <c r="BG174" s="420"/>
      <c r="BH174" s="420"/>
      <c r="BI174" s="420"/>
      <c r="BJ174" s="420"/>
      <c r="BK174" s="420"/>
      <c r="BL174" s="420"/>
      <c r="BM174" s="420"/>
      <c r="BN174" s="420"/>
      <c r="BO174" s="420"/>
      <c r="BP174" s="420"/>
      <c r="BQ174" s="420"/>
      <c r="BR174" s="420"/>
      <c r="BS174" s="421"/>
      <c r="BT174" s="419" t="s">
        <v>300</v>
      </c>
      <c r="BU174" s="420"/>
      <c r="BV174" s="420"/>
      <c r="BW174" s="420"/>
      <c r="BX174" s="420"/>
      <c r="BY174" s="420"/>
      <c r="BZ174" s="420"/>
      <c r="CA174" s="420"/>
      <c r="CB174" s="420"/>
      <c r="CC174" s="420"/>
      <c r="CD174" s="420"/>
      <c r="CE174" s="420"/>
      <c r="CF174" s="420"/>
      <c r="CG174" s="420"/>
      <c r="CH174" s="420"/>
      <c r="CI174" s="421"/>
      <c r="CJ174" s="419" t="s">
        <v>301</v>
      </c>
      <c r="CK174" s="420"/>
      <c r="CL174" s="420"/>
      <c r="CM174" s="420"/>
      <c r="CN174" s="420"/>
      <c r="CO174" s="420"/>
      <c r="CP174" s="420"/>
      <c r="CQ174" s="420"/>
      <c r="CR174" s="420"/>
      <c r="CS174" s="420"/>
      <c r="CT174" s="420"/>
      <c r="CU174" s="420"/>
      <c r="CV174" s="420"/>
      <c r="CW174" s="420"/>
      <c r="CX174" s="420"/>
      <c r="CY174" s="420"/>
      <c r="CZ174" s="420"/>
      <c r="DA174" s="421"/>
    </row>
    <row r="175" spans="1:105" ht="12" customHeight="1">
      <c r="A175" s="416">
        <v>1</v>
      </c>
      <c r="B175" s="416"/>
      <c r="C175" s="416"/>
      <c r="D175" s="416"/>
      <c r="E175" s="416"/>
      <c r="F175" s="416"/>
      <c r="G175" s="416"/>
      <c r="H175" s="196">
        <v>2</v>
      </c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8"/>
      <c r="BD175" s="416">
        <v>3</v>
      </c>
      <c r="BE175" s="416"/>
      <c r="BF175" s="416"/>
      <c r="BG175" s="416"/>
      <c r="BH175" s="416"/>
      <c r="BI175" s="416"/>
      <c r="BJ175" s="416"/>
      <c r="BK175" s="416"/>
      <c r="BL175" s="416"/>
      <c r="BM175" s="416"/>
      <c r="BN175" s="416"/>
      <c r="BO175" s="416"/>
      <c r="BP175" s="416"/>
      <c r="BQ175" s="416"/>
      <c r="BR175" s="416"/>
      <c r="BS175" s="416"/>
      <c r="BT175" s="416">
        <v>4</v>
      </c>
      <c r="BU175" s="416"/>
      <c r="BV175" s="416"/>
      <c r="BW175" s="416"/>
      <c r="BX175" s="416"/>
      <c r="BY175" s="416"/>
      <c r="BZ175" s="416"/>
      <c r="CA175" s="416"/>
      <c r="CB175" s="416"/>
      <c r="CC175" s="416"/>
      <c r="CD175" s="416"/>
      <c r="CE175" s="416"/>
      <c r="CF175" s="416"/>
      <c r="CG175" s="416"/>
      <c r="CH175" s="416"/>
      <c r="CI175" s="416"/>
      <c r="CJ175" s="416">
        <v>5</v>
      </c>
      <c r="CK175" s="416"/>
      <c r="CL175" s="416"/>
      <c r="CM175" s="416"/>
      <c r="CN175" s="416"/>
      <c r="CO175" s="416"/>
      <c r="CP175" s="416"/>
      <c r="CQ175" s="416"/>
      <c r="CR175" s="416"/>
      <c r="CS175" s="416"/>
      <c r="CT175" s="416"/>
      <c r="CU175" s="416"/>
      <c r="CV175" s="416"/>
      <c r="CW175" s="416"/>
      <c r="CX175" s="416"/>
      <c r="CY175" s="416"/>
      <c r="CZ175" s="416"/>
      <c r="DA175" s="416"/>
    </row>
    <row r="176" spans="1:105" ht="33.75" customHeight="1">
      <c r="A176" s="612">
        <v>1</v>
      </c>
      <c r="B176" s="612"/>
      <c r="C176" s="612"/>
      <c r="D176" s="612"/>
      <c r="E176" s="612"/>
      <c r="F176" s="612"/>
      <c r="G176" s="612"/>
      <c r="H176" s="613" t="s">
        <v>385</v>
      </c>
      <c r="I176" s="614"/>
      <c r="J176" s="614"/>
      <c r="K176" s="614"/>
      <c r="L176" s="614"/>
      <c r="M176" s="614"/>
      <c r="N176" s="614"/>
      <c r="O176" s="614"/>
      <c r="P176" s="614"/>
      <c r="Q176" s="614"/>
      <c r="R176" s="614"/>
      <c r="S176" s="614"/>
      <c r="T176" s="614"/>
      <c r="U176" s="614"/>
      <c r="V176" s="614"/>
      <c r="W176" s="614"/>
      <c r="X176" s="614"/>
      <c r="Y176" s="614"/>
      <c r="Z176" s="614"/>
      <c r="AA176" s="614"/>
      <c r="AB176" s="614"/>
      <c r="AC176" s="614"/>
      <c r="AD176" s="614"/>
      <c r="AE176" s="614"/>
      <c r="AF176" s="614"/>
      <c r="AG176" s="614"/>
      <c r="AH176" s="614"/>
      <c r="AI176" s="614"/>
      <c r="AJ176" s="614"/>
      <c r="AK176" s="614"/>
      <c r="AL176" s="614"/>
      <c r="AM176" s="614"/>
      <c r="AN176" s="614"/>
      <c r="AO176" s="614"/>
      <c r="AP176" s="614"/>
      <c r="AQ176" s="614"/>
      <c r="AR176" s="614"/>
      <c r="AS176" s="614"/>
      <c r="AT176" s="614"/>
      <c r="AU176" s="614"/>
      <c r="AV176" s="614"/>
      <c r="AW176" s="614"/>
      <c r="AX176" s="614"/>
      <c r="AY176" s="614"/>
      <c r="AZ176" s="614"/>
      <c r="BA176" s="614"/>
      <c r="BB176" s="614"/>
      <c r="BC176" s="615"/>
      <c r="BD176" s="616"/>
      <c r="BE176" s="617"/>
      <c r="BF176" s="617"/>
      <c r="BG176" s="617"/>
      <c r="BH176" s="617"/>
      <c r="BI176" s="617"/>
      <c r="BJ176" s="617"/>
      <c r="BK176" s="617"/>
      <c r="BL176" s="617"/>
      <c r="BM176" s="617"/>
      <c r="BN176" s="617"/>
      <c r="BO176" s="617"/>
      <c r="BP176" s="617"/>
      <c r="BQ176" s="617"/>
      <c r="BR176" s="617"/>
      <c r="BS176" s="618"/>
      <c r="BT176" s="612">
        <v>12</v>
      </c>
      <c r="BU176" s="612"/>
      <c r="BV176" s="612"/>
      <c r="BW176" s="612"/>
      <c r="BX176" s="612"/>
      <c r="BY176" s="612"/>
      <c r="BZ176" s="612"/>
      <c r="CA176" s="612"/>
      <c r="CB176" s="612"/>
      <c r="CC176" s="612"/>
      <c r="CD176" s="612"/>
      <c r="CE176" s="612"/>
      <c r="CF176" s="612"/>
      <c r="CG176" s="612"/>
      <c r="CH176" s="612"/>
      <c r="CI176" s="612"/>
      <c r="CJ176" s="619">
        <v>110000</v>
      </c>
      <c r="CK176" s="619"/>
      <c r="CL176" s="619"/>
      <c r="CM176" s="619"/>
      <c r="CN176" s="619"/>
      <c r="CO176" s="619"/>
      <c r="CP176" s="619"/>
      <c r="CQ176" s="619"/>
      <c r="CR176" s="619"/>
      <c r="CS176" s="619"/>
      <c r="CT176" s="619"/>
      <c r="CU176" s="619"/>
      <c r="CV176" s="619"/>
      <c r="CW176" s="619"/>
      <c r="CX176" s="619"/>
      <c r="CY176" s="619"/>
      <c r="CZ176" s="619"/>
      <c r="DA176" s="619"/>
    </row>
    <row r="177" spans="1:105" ht="34.5" customHeight="1">
      <c r="A177" s="612">
        <v>2</v>
      </c>
      <c r="B177" s="612"/>
      <c r="C177" s="612"/>
      <c r="D177" s="612"/>
      <c r="E177" s="612"/>
      <c r="F177" s="612"/>
      <c r="G177" s="612"/>
      <c r="H177" s="613" t="s">
        <v>386</v>
      </c>
      <c r="I177" s="614"/>
      <c r="J177" s="614"/>
      <c r="K177" s="614"/>
      <c r="L177" s="614"/>
      <c r="M177" s="614"/>
      <c r="N177" s="614"/>
      <c r="O177" s="614"/>
      <c r="P177" s="614"/>
      <c r="Q177" s="614"/>
      <c r="R177" s="614"/>
      <c r="S177" s="614"/>
      <c r="T177" s="614"/>
      <c r="U177" s="614"/>
      <c r="V177" s="614"/>
      <c r="W177" s="614"/>
      <c r="X177" s="614"/>
      <c r="Y177" s="614"/>
      <c r="Z177" s="614"/>
      <c r="AA177" s="614"/>
      <c r="AB177" s="614"/>
      <c r="AC177" s="614"/>
      <c r="AD177" s="614"/>
      <c r="AE177" s="614"/>
      <c r="AF177" s="614"/>
      <c r="AG177" s="614"/>
      <c r="AH177" s="614"/>
      <c r="AI177" s="614"/>
      <c r="AJ177" s="614"/>
      <c r="AK177" s="614"/>
      <c r="AL177" s="614"/>
      <c r="AM177" s="614"/>
      <c r="AN177" s="614"/>
      <c r="AO177" s="614"/>
      <c r="AP177" s="614"/>
      <c r="AQ177" s="614"/>
      <c r="AR177" s="614"/>
      <c r="AS177" s="614"/>
      <c r="AT177" s="614"/>
      <c r="AU177" s="614"/>
      <c r="AV177" s="614"/>
      <c r="AW177" s="614"/>
      <c r="AX177" s="614"/>
      <c r="AY177" s="614"/>
      <c r="AZ177" s="614"/>
      <c r="BA177" s="614"/>
      <c r="BB177" s="614"/>
      <c r="BC177" s="615"/>
      <c r="BD177" s="616"/>
      <c r="BE177" s="617"/>
      <c r="BF177" s="617"/>
      <c r="BG177" s="617"/>
      <c r="BH177" s="617"/>
      <c r="BI177" s="617"/>
      <c r="BJ177" s="617"/>
      <c r="BK177" s="617"/>
      <c r="BL177" s="617"/>
      <c r="BM177" s="617"/>
      <c r="BN177" s="617"/>
      <c r="BO177" s="617"/>
      <c r="BP177" s="617"/>
      <c r="BQ177" s="617"/>
      <c r="BR177" s="617"/>
      <c r="BS177" s="618"/>
      <c r="BT177" s="612">
        <v>12</v>
      </c>
      <c r="BU177" s="612"/>
      <c r="BV177" s="612"/>
      <c r="BW177" s="612"/>
      <c r="BX177" s="612"/>
      <c r="BY177" s="612"/>
      <c r="BZ177" s="612"/>
      <c r="CA177" s="612"/>
      <c r="CB177" s="612"/>
      <c r="CC177" s="612"/>
      <c r="CD177" s="612"/>
      <c r="CE177" s="612"/>
      <c r="CF177" s="612"/>
      <c r="CG177" s="612"/>
      <c r="CH177" s="612"/>
      <c r="CI177" s="612"/>
      <c r="CJ177" s="619">
        <v>460000</v>
      </c>
      <c r="CK177" s="619"/>
      <c r="CL177" s="619"/>
      <c r="CM177" s="619"/>
      <c r="CN177" s="619"/>
      <c r="CO177" s="619"/>
      <c r="CP177" s="619"/>
      <c r="CQ177" s="619"/>
      <c r="CR177" s="619"/>
      <c r="CS177" s="619"/>
      <c r="CT177" s="619"/>
      <c r="CU177" s="619"/>
      <c r="CV177" s="619"/>
      <c r="CW177" s="619"/>
      <c r="CX177" s="619"/>
      <c r="CY177" s="619"/>
      <c r="CZ177" s="619"/>
      <c r="DA177" s="619"/>
    </row>
    <row r="178" spans="1:105" ht="12" customHeight="1">
      <c r="A178" s="612">
        <v>3</v>
      </c>
      <c r="B178" s="612"/>
      <c r="C178" s="612"/>
      <c r="D178" s="612"/>
      <c r="E178" s="612"/>
      <c r="F178" s="612"/>
      <c r="G178" s="612"/>
      <c r="H178" s="613" t="s">
        <v>387</v>
      </c>
      <c r="I178" s="614"/>
      <c r="J178" s="614"/>
      <c r="K178" s="614"/>
      <c r="L178" s="614"/>
      <c r="M178" s="614"/>
      <c r="N178" s="614"/>
      <c r="O178" s="614"/>
      <c r="P178" s="614"/>
      <c r="Q178" s="614"/>
      <c r="R178" s="614"/>
      <c r="S178" s="614"/>
      <c r="T178" s="614"/>
      <c r="U178" s="614"/>
      <c r="V178" s="614"/>
      <c r="W178" s="614"/>
      <c r="X178" s="614"/>
      <c r="Y178" s="614"/>
      <c r="Z178" s="614"/>
      <c r="AA178" s="614"/>
      <c r="AB178" s="614"/>
      <c r="AC178" s="614"/>
      <c r="AD178" s="614"/>
      <c r="AE178" s="614"/>
      <c r="AF178" s="614"/>
      <c r="AG178" s="614"/>
      <c r="AH178" s="614"/>
      <c r="AI178" s="614"/>
      <c r="AJ178" s="614"/>
      <c r="AK178" s="614"/>
      <c r="AL178" s="614"/>
      <c r="AM178" s="614"/>
      <c r="AN178" s="614"/>
      <c r="AO178" s="614"/>
      <c r="AP178" s="614"/>
      <c r="AQ178" s="614"/>
      <c r="AR178" s="614"/>
      <c r="AS178" s="614"/>
      <c r="AT178" s="614"/>
      <c r="AU178" s="614"/>
      <c r="AV178" s="614"/>
      <c r="AW178" s="614"/>
      <c r="AX178" s="614"/>
      <c r="AY178" s="614"/>
      <c r="AZ178" s="614"/>
      <c r="BA178" s="614"/>
      <c r="BB178" s="614"/>
      <c r="BC178" s="615"/>
      <c r="BD178" s="616"/>
      <c r="BE178" s="617"/>
      <c r="BF178" s="617"/>
      <c r="BG178" s="617"/>
      <c r="BH178" s="617"/>
      <c r="BI178" s="617"/>
      <c r="BJ178" s="617"/>
      <c r="BK178" s="617"/>
      <c r="BL178" s="617"/>
      <c r="BM178" s="617"/>
      <c r="BN178" s="617"/>
      <c r="BO178" s="617"/>
      <c r="BP178" s="617"/>
      <c r="BQ178" s="617"/>
      <c r="BR178" s="617"/>
      <c r="BS178" s="618"/>
      <c r="BT178" s="612">
        <v>4</v>
      </c>
      <c r="BU178" s="612"/>
      <c r="BV178" s="612"/>
      <c r="BW178" s="612"/>
      <c r="BX178" s="612"/>
      <c r="BY178" s="612"/>
      <c r="BZ178" s="612"/>
      <c r="CA178" s="612"/>
      <c r="CB178" s="612"/>
      <c r="CC178" s="612"/>
      <c r="CD178" s="612"/>
      <c r="CE178" s="612"/>
      <c r="CF178" s="612"/>
      <c r="CG178" s="612"/>
      <c r="CH178" s="612"/>
      <c r="CI178" s="612"/>
      <c r="CJ178" s="619">
        <v>300000</v>
      </c>
      <c r="CK178" s="619"/>
      <c r="CL178" s="619"/>
      <c r="CM178" s="619"/>
      <c r="CN178" s="619"/>
      <c r="CO178" s="619"/>
      <c r="CP178" s="619"/>
      <c r="CQ178" s="619"/>
      <c r="CR178" s="619"/>
      <c r="CS178" s="619"/>
      <c r="CT178" s="619"/>
      <c r="CU178" s="619"/>
      <c r="CV178" s="619"/>
      <c r="CW178" s="619"/>
      <c r="CX178" s="619"/>
      <c r="CY178" s="619"/>
      <c r="CZ178" s="619"/>
      <c r="DA178" s="619"/>
    </row>
    <row r="179" spans="1:105" ht="12" customHeight="1">
      <c r="A179" s="612">
        <v>4</v>
      </c>
      <c r="B179" s="612"/>
      <c r="C179" s="612"/>
      <c r="D179" s="612"/>
      <c r="E179" s="612"/>
      <c r="F179" s="612"/>
      <c r="G179" s="612"/>
      <c r="H179" s="613" t="s">
        <v>389</v>
      </c>
      <c r="I179" s="614"/>
      <c r="J179" s="614"/>
      <c r="K179" s="614"/>
      <c r="L179" s="614"/>
      <c r="M179" s="614"/>
      <c r="N179" s="614"/>
      <c r="O179" s="614"/>
      <c r="P179" s="614"/>
      <c r="Q179" s="614"/>
      <c r="R179" s="614"/>
      <c r="S179" s="614"/>
      <c r="T179" s="614"/>
      <c r="U179" s="614"/>
      <c r="V179" s="614"/>
      <c r="W179" s="614"/>
      <c r="X179" s="614"/>
      <c r="Y179" s="614"/>
      <c r="Z179" s="614"/>
      <c r="AA179" s="614"/>
      <c r="AB179" s="614"/>
      <c r="AC179" s="614"/>
      <c r="AD179" s="614"/>
      <c r="AE179" s="614"/>
      <c r="AF179" s="614"/>
      <c r="AG179" s="614"/>
      <c r="AH179" s="614"/>
      <c r="AI179" s="614"/>
      <c r="AJ179" s="614"/>
      <c r="AK179" s="614"/>
      <c r="AL179" s="614"/>
      <c r="AM179" s="614"/>
      <c r="AN179" s="614"/>
      <c r="AO179" s="614"/>
      <c r="AP179" s="614"/>
      <c r="AQ179" s="614"/>
      <c r="AR179" s="614"/>
      <c r="AS179" s="614"/>
      <c r="AT179" s="614"/>
      <c r="AU179" s="614"/>
      <c r="AV179" s="614"/>
      <c r="AW179" s="614"/>
      <c r="AX179" s="614"/>
      <c r="AY179" s="614"/>
      <c r="AZ179" s="614"/>
      <c r="BA179" s="614"/>
      <c r="BB179" s="614"/>
      <c r="BC179" s="615"/>
      <c r="BD179" s="616"/>
      <c r="BE179" s="617"/>
      <c r="BF179" s="617"/>
      <c r="BG179" s="617"/>
      <c r="BH179" s="617"/>
      <c r="BI179" s="617"/>
      <c r="BJ179" s="617"/>
      <c r="BK179" s="617"/>
      <c r="BL179" s="617"/>
      <c r="BM179" s="617"/>
      <c r="BN179" s="617"/>
      <c r="BO179" s="617"/>
      <c r="BP179" s="617"/>
      <c r="BQ179" s="617"/>
      <c r="BR179" s="617"/>
      <c r="BS179" s="618"/>
      <c r="BT179" s="612">
        <v>12</v>
      </c>
      <c r="BU179" s="612"/>
      <c r="BV179" s="612"/>
      <c r="BW179" s="612"/>
      <c r="BX179" s="612"/>
      <c r="BY179" s="612"/>
      <c r="BZ179" s="612"/>
      <c r="CA179" s="612"/>
      <c r="CB179" s="612"/>
      <c r="CC179" s="612"/>
      <c r="CD179" s="612"/>
      <c r="CE179" s="612"/>
      <c r="CF179" s="612"/>
      <c r="CG179" s="612"/>
      <c r="CH179" s="612"/>
      <c r="CI179" s="612"/>
      <c r="CJ179" s="619">
        <v>230000</v>
      </c>
      <c r="CK179" s="619"/>
      <c r="CL179" s="619"/>
      <c r="CM179" s="619"/>
      <c r="CN179" s="619"/>
      <c r="CO179" s="619"/>
      <c r="CP179" s="619"/>
      <c r="CQ179" s="619"/>
      <c r="CR179" s="619"/>
      <c r="CS179" s="619"/>
      <c r="CT179" s="619"/>
      <c r="CU179" s="619"/>
      <c r="CV179" s="619"/>
      <c r="CW179" s="619"/>
      <c r="CX179" s="619"/>
      <c r="CY179" s="619"/>
      <c r="CZ179" s="619"/>
      <c r="DA179" s="619"/>
    </row>
    <row r="180" spans="1:105" ht="12" customHeight="1">
      <c r="A180" s="612">
        <v>5</v>
      </c>
      <c r="B180" s="612"/>
      <c r="C180" s="612"/>
      <c r="D180" s="612"/>
      <c r="E180" s="612"/>
      <c r="F180" s="612"/>
      <c r="G180" s="612"/>
      <c r="H180" s="613" t="s">
        <v>538</v>
      </c>
      <c r="I180" s="614"/>
      <c r="J180" s="614"/>
      <c r="K180" s="614"/>
      <c r="L180" s="614"/>
      <c r="M180" s="614"/>
      <c r="N180" s="614"/>
      <c r="O180" s="614"/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4"/>
      <c r="AD180" s="614"/>
      <c r="AE180" s="614"/>
      <c r="AF180" s="614"/>
      <c r="AG180" s="614"/>
      <c r="AH180" s="614"/>
      <c r="AI180" s="614"/>
      <c r="AJ180" s="614"/>
      <c r="AK180" s="614"/>
      <c r="AL180" s="614"/>
      <c r="AM180" s="614"/>
      <c r="AN180" s="614"/>
      <c r="AO180" s="614"/>
      <c r="AP180" s="614"/>
      <c r="AQ180" s="614"/>
      <c r="AR180" s="614"/>
      <c r="AS180" s="614"/>
      <c r="AT180" s="614"/>
      <c r="AU180" s="614"/>
      <c r="AV180" s="614"/>
      <c r="AW180" s="614"/>
      <c r="AX180" s="614"/>
      <c r="AY180" s="614"/>
      <c r="AZ180" s="614"/>
      <c r="BA180" s="614"/>
      <c r="BB180" s="614"/>
      <c r="BC180" s="615"/>
      <c r="BD180" s="616"/>
      <c r="BE180" s="617"/>
      <c r="BF180" s="617"/>
      <c r="BG180" s="617"/>
      <c r="BH180" s="617"/>
      <c r="BI180" s="617"/>
      <c r="BJ180" s="617"/>
      <c r="BK180" s="617"/>
      <c r="BL180" s="617"/>
      <c r="BM180" s="617"/>
      <c r="BN180" s="617"/>
      <c r="BO180" s="617"/>
      <c r="BP180" s="617"/>
      <c r="BQ180" s="617"/>
      <c r="BR180" s="617"/>
      <c r="BS180" s="618"/>
      <c r="BT180" s="612">
        <v>4</v>
      </c>
      <c r="BU180" s="612"/>
      <c r="BV180" s="612"/>
      <c r="BW180" s="612"/>
      <c r="BX180" s="612"/>
      <c r="BY180" s="612"/>
      <c r="BZ180" s="612"/>
      <c r="CA180" s="612"/>
      <c r="CB180" s="612"/>
      <c r="CC180" s="612"/>
      <c r="CD180" s="612"/>
      <c r="CE180" s="612"/>
      <c r="CF180" s="612"/>
      <c r="CG180" s="612"/>
      <c r="CH180" s="612"/>
      <c r="CI180" s="612"/>
      <c r="CJ180" s="619">
        <v>60000</v>
      </c>
      <c r="CK180" s="619"/>
      <c r="CL180" s="619"/>
      <c r="CM180" s="619"/>
      <c r="CN180" s="619"/>
      <c r="CO180" s="619"/>
      <c r="CP180" s="619"/>
      <c r="CQ180" s="619"/>
      <c r="CR180" s="619"/>
      <c r="CS180" s="619"/>
      <c r="CT180" s="619"/>
      <c r="CU180" s="619"/>
      <c r="CV180" s="619"/>
      <c r="CW180" s="619"/>
      <c r="CX180" s="619"/>
      <c r="CY180" s="619"/>
      <c r="CZ180" s="619"/>
      <c r="DA180" s="619"/>
    </row>
    <row r="181" spans="1:105" ht="12" customHeight="1">
      <c r="A181" s="612">
        <v>6</v>
      </c>
      <c r="B181" s="612"/>
      <c r="C181" s="612"/>
      <c r="D181" s="612"/>
      <c r="E181" s="612"/>
      <c r="F181" s="612"/>
      <c r="G181" s="612"/>
      <c r="H181" s="613" t="s">
        <v>394</v>
      </c>
      <c r="I181" s="614"/>
      <c r="J181" s="614"/>
      <c r="K181" s="614"/>
      <c r="L181" s="614"/>
      <c r="M181" s="614"/>
      <c r="N181" s="614"/>
      <c r="O181" s="614"/>
      <c r="P181" s="614"/>
      <c r="Q181" s="614"/>
      <c r="R181" s="614"/>
      <c r="S181" s="614"/>
      <c r="T181" s="614"/>
      <c r="U181" s="614"/>
      <c r="V181" s="614"/>
      <c r="W181" s="614"/>
      <c r="X181" s="614"/>
      <c r="Y181" s="614"/>
      <c r="Z181" s="614"/>
      <c r="AA181" s="614"/>
      <c r="AB181" s="614"/>
      <c r="AC181" s="614"/>
      <c r="AD181" s="614"/>
      <c r="AE181" s="614"/>
      <c r="AF181" s="614"/>
      <c r="AG181" s="614"/>
      <c r="AH181" s="614"/>
      <c r="AI181" s="614"/>
      <c r="AJ181" s="614"/>
      <c r="AK181" s="614"/>
      <c r="AL181" s="614"/>
      <c r="AM181" s="614"/>
      <c r="AN181" s="614"/>
      <c r="AO181" s="614"/>
      <c r="AP181" s="614"/>
      <c r="AQ181" s="614"/>
      <c r="AR181" s="614"/>
      <c r="AS181" s="614"/>
      <c r="AT181" s="614"/>
      <c r="AU181" s="614"/>
      <c r="AV181" s="614"/>
      <c r="AW181" s="614"/>
      <c r="AX181" s="614"/>
      <c r="AY181" s="614"/>
      <c r="AZ181" s="614"/>
      <c r="BA181" s="614"/>
      <c r="BB181" s="614"/>
      <c r="BC181" s="615"/>
      <c r="BD181" s="616"/>
      <c r="BE181" s="617"/>
      <c r="BF181" s="617"/>
      <c r="BG181" s="617"/>
      <c r="BH181" s="617"/>
      <c r="BI181" s="617"/>
      <c r="BJ181" s="617"/>
      <c r="BK181" s="617"/>
      <c r="BL181" s="617"/>
      <c r="BM181" s="617"/>
      <c r="BN181" s="617"/>
      <c r="BO181" s="617"/>
      <c r="BP181" s="617"/>
      <c r="BQ181" s="617"/>
      <c r="BR181" s="617"/>
      <c r="BS181" s="618"/>
      <c r="BT181" s="612">
        <v>1</v>
      </c>
      <c r="BU181" s="612"/>
      <c r="BV181" s="612"/>
      <c r="BW181" s="612"/>
      <c r="BX181" s="612"/>
      <c r="BY181" s="612"/>
      <c r="BZ181" s="612"/>
      <c r="CA181" s="612"/>
      <c r="CB181" s="612"/>
      <c r="CC181" s="612"/>
      <c r="CD181" s="612"/>
      <c r="CE181" s="612"/>
      <c r="CF181" s="612"/>
      <c r="CG181" s="612"/>
      <c r="CH181" s="612"/>
      <c r="CI181" s="612"/>
      <c r="CJ181" s="619">
        <v>2900000</v>
      </c>
      <c r="CK181" s="619"/>
      <c r="CL181" s="619"/>
      <c r="CM181" s="619"/>
      <c r="CN181" s="619"/>
      <c r="CO181" s="619"/>
      <c r="CP181" s="619"/>
      <c r="CQ181" s="619"/>
      <c r="CR181" s="619"/>
      <c r="CS181" s="619"/>
      <c r="CT181" s="619"/>
      <c r="CU181" s="619"/>
      <c r="CV181" s="619"/>
      <c r="CW181" s="619"/>
      <c r="CX181" s="619"/>
      <c r="CY181" s="619"/>
      <c r="CZ181" s="619"/>
      <c r="DA181" s="619"/>
    </row>
    <row r="182" spans="1:105" ht="12" customHeight="1">
      <c r="A182" s="612">
        <v>7</v>
      </c>
      <c r="B182" s="612"/>
      <c r="C182" s="612"/>
      <c r="D182" s="612"/>
      <c r="E182" s="612"/>
      <c r="F182" s="612"/>
      <c r="G182" s="612"/>
      <c r="H182" s="613" t="s">
        <v>539</v>
      </c>
      <c r="I182" s="614"/>
      <c r="J182" s="614"/>
      <c r="K182" s="614"/>
      <c r="L182" s="614"/>
      <c r="M182" s="614"/>
      <c r="N182" s="614"/>
      <c r="O182" s="614"/>
      <c r="P182" s="614"/>
      <c r="Q182" s="614"/>
      <c r="R182" s="614"/>
      <c r="S182" s="614"/>
      <c r="T182" s="614"/>
      <c r="U182" s="614"/>
      <c r="V182" s="614"/>
      <c r="W182" s="614"/>
      <c r="X182" s="614"/>
      <c r="Y182" s="614"/>
      <c r="Z182" s="614"/>
      <c r="AA182" s="614"/>
      <c r="AB182" s="614"/>
      <c r="AC182" s="614"/>
      <c r="AD182" s="614"/>
      <c r="AE182" s="614"/>
      <c r="AF182" s="614"/>
      <c r="AG182" s="614"/>
      <c r="AH182" s="614"/>
      <c r="AI182" s="614"/>
      <c r="AJ182" s="614"/>
      <c r="AK182" s="614"/>
      <c r="AL182" s="614"/>
      <c r="AM182" s="614"/>
      <c r="AN182" s="614"/>
      <c r="AO182" s="614"/>
      <c r="AP182" s="614"/>
      <c r="AQ182" s="614"/>
      <c r="AR182" s="614"/>
      <c r="AS182" s="614"/>
      <c r="AT182" s="614"/>
      <c r="AU182" s="614"/>
      <c r="AV182" s="614"/>
      <c r="AW182" s="614"/>
      <c r="AX182" s="614"/>
      <c r="AY182" s="614"/>
      <c r="AZ182" s="614"/>
      <c r="BA182" s="614"/>
      <c r="BB182" s="614"/>
      <c r="BC182" s="615"/>
      <c r="BD182" s="616"/>
      <c r="BE182" s="617"/>
      <c r="BF182" s="617"/>
      <c r="BG182" s="617"/>
      <c r="BH182" s="617"/>
      <c r="BI182" s="617"/>
      <c r="BJ182" s="617"/>
      <c r="BK182" s="617"/>
      <c r="BL182" s="617"/>
      <c r="BM182" s="617"/>
      <c r="BN182" s="617"/>
      <c r="BO182" s="617"/>
      <c r="BP182" s="617"/>
      <c r="BQ182" s="617"/>
      <c r="BR182" s="617"/>
      <c r="BS182" s="618"/>
      <c r="BT182" s="612">
        <v>12</v>
      </c>
      <c r="BU182" s="612"/>
      <c r="BV182" s="612"/>
      <c r="BW182" s="612"/>
      <c r="BX182" s="612"/>
      <c r="BY182" s="612"/>
      <c r="BZ182" s="612"/>
      <c r="CA182" s="612"/>
      <c r="CB182" s="612"/>
      <c r="CC182" s="612"/>
      <c r="CD182" s="612"/>
      <c r="CE182" s="612"/>
      <c r="CF182" s="612"/>
      <c r="CG182" s="612"/>
      <c r="CH182" s="612"/>
      <c r="CI182" s="612"/>
      <c r="CJ182" s="619">
        <v>100000</v>
      </c>
      <c r="CK182" s="619"/>
      <c r="CL182" s="619"/>
      <c r="CM182" s="619"/>
      <c r="CN182" s="619"/>
      <c r="CO182" s="619"/>
      <c r="CP182" s="619"/>
      <c r="CQ182" s="619"/>
      <c r="CR182" s="619"/>
      <c r="CS182" s="619"/>
      <c r="CT182" s="619"/>
      <c r="CU182" s="619"/>
      <c r="CV182" s="619"/>
      <c r="CW182" s="619"/>
      <c r="CX182" s="619"/>
      <c r="CY182" s="619"/>
      <c r="CZ182" s="619"/>
      <c r="DA182" s="619"/>
    </row>
    <row r="183" spans="1:105" ht="12" customHeight="1">
      <c r="A183" s="612">
        <v>8</v>
      </c>
      <c r="B183" s="612"/>
      <c r="C183" s="612"/>
      <c r="D183" s="612"/>
      <c r="E183" s="612"/>
      <c r="F183" s="612"/>
      <c r="G183" s="612"/>
      <c r="H183" s="613" t="s">
        <v>540</v>
      </c>
      <c r="I183" s="614"/>
      <c r="J183" s="614"/>
      <c r="K183" s="614"/>
      <c r="L183" s="614"/>
      <c r="M183" s="614"/>
      <c r="N183" s="614"/>
      <c r="O183" s="614"/>
      <c r="P183" s="614"/>
      <c r="Q183" s="614"/>
      <c r="R183" s="614"/>
      <c r="S183" s="614"/>
      <c r="T183" s="614"/>
      <c r="U183" s="614"/>
      <c r="V183" s="614"/>
      <c r="W183" s="614"/>
      <c r="X183" s="614"/>
      <c r="Y183" s="614"/>
      <c r="Z183" s="614"/>
      <c r="AA183" s="614"/>
      <c r="AB183" s="614"/>
      <c r="AC183" s="614"/>
      <c r="AD183" s="614"/>
      <c r="AE183" s="614"/>
      <c r="AF183" s="614"/>
      <c r="AG183" s="614"/>
      <c r="AH183" s="614"/>
      <c r="AI183" s="614"/>
      <c r="AJ183" s="614"/>
      <c r="AK183" s="614"/>
      <c r="AL183" s="614"/>
      <c r="AM183" s="614"/>
      <c r="AN183" s="614"/>
      <c r="AO183" s="614"/>
      <c r="AP183" s="614"/>
      <c r="AQ183" s="614"/>
      <c r="AR183" s="614"/>
      <c r="AS183" s="614"/>
      <c r="AT183" s="614"/>
      <c r="AU183" s="614"/>
      <c r="AV183" s="614"/>
      <c r="AW183" s="614"/>
      <c r="AX183" s="614"/>
      <c r="AY183" s="614"/>
      <c r="AZ183" s="614"/>
      <c r="BA183" s="614"/>
      <c r="BB183" s="614"/>
      <c r="BC183" s="615"/>
      <c r="BD183" s="616"/>
      <c r="BE183" s="617"/>
      <c r="BF183" s="617"/>
      <c r="BG183" s="617"/>
      <c r="BH183" s="617"/>
      <c r="BI183" s="617"/>
      <c r="BJ183" s="617"/>
      <c r="BK183" s="617"/>
      <c r="BL183" s="617"/>
      <c r="BM183" s="617"/>
      <c r="BN183" s="617"/>
      <c r="BO183" s="617"/>
      <c r="BP183" s="617"/>
      <c r="BQ183" s="617"/>
      <c r="BR183" s="617"/>
      <c r="BS183" s="618"/>
      <c r="BT183" s="612">
        <v>4</v>
      </c>
      <c r="BU183" s="612"/>
      <c r="BV183" s="612"/>
      <c r="BW183" s="612"/>
      <c r="BX183" s="612"/>
      <c r="BY183" s="612"/>
      <c r="BZ183" s="612"/>
      <c r="CA183" s="612"/>
      <c r="CB183" s="612"/>
      <c r="CC183" s="612"/>
      <c r="CD183" s="612"/>
      <c r="CE183" s="612"/>
      <c r="CF183" s="612"/>
      <c r="CG183" s="612"/>
      <c r="CH183" s="612"/>
      <c r="CI183" s="612"/>
      <c r="CJ183" s="619">
        <f>250000+300000+100000+500000</f>
        <v>1150000</v>
      </c>
      <c r="CK183" s="619"/>
      <c r="CL183" s="619"/>
      <c r="CM183" s="619"/>
      <c r="CN183" s="619"/>
      <c r="CO183" s="619"/>
      <c r="CP183" s="619"/>
      <c r="CQ183" s="619"/>
      <c r="CR183" s="619"/>
      <c r="CS183" s="619"/>
      <c r="CT183" s="619"/>
      <c r="CU183" s="619"/>
      <c r="CV183" s="619"/>
      <c r="CW183" s="619"/>
      <c r="CX183" s="619"/>
      <c r="CY183" s="619"/>
      <c r="CZ183" s="619"/>
      <c r="DA183" s="619"/>
    </row>
    <row r="184" spans="1:105" s="82" customFormat="1" ht="30" customHeight="1">
      <c r="A184" s="407"/>
      <c r="B184" s="407"/>
      <c r="C184" s="407"/>
      <c r="D184" s="407"/>
      <c r="E184" s="407"/>
      <c r="F184" s="407"/>
      <c r="G184" s="407"/>
      <c r="H184" s="410" t="s">
        <v>233</v>
      </c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  <c r="AA184" s="411"/>
      <c r="AB184" s="411"/>
      <c r="AC184" s="411"/>
      <c r="AD184" s="411"/>
      <c r="AE184" s="411"/>
      <c r="AF184" s="411"/>
      <c r="AG184" s="411"/>
      <c r="AH184" s="411"/>
      <c r="AI184" s="411"/>
      <c r="AJ184" s="411"/>
      <c r="AK184" s="411"/>
      <c r="AL184" s="411"/>
      <c r="AM184" s="411"/>
      <c r="AN184" s="411"/>
      <c r="AO184" s="411"/>
      <c r="AP184" s="411"/>
      <c r="AQ184" s="411"/>
      <c r="AR184" s="411"/>
      <c r="AS184" s="411"/>
      <c r="AT184" s="411"/>
      <c r="AU184" s="411"/>
      <c r="AV184" s="411"/>
      <c r="AW184" s="411"/>
      <c r="AX184" s="411"/>
      <c r="AY184" s="411"/>
      <c r="AZ184" s="411"/>
      <c r="BA184" s="411"/>
      <c r="BB184" s="411"/>
      <c r="BC184" s="412"/>
      <c r="BD184" s="413" t="s">
        <v>234</v>
      </c>
      <c r="BE184" s="413"/>
      <c r="BF184" s="413"/>
      <c r="BG184" s="413"/>
      <c r="BH184" s="413"/>
      <c r="BI184" s="413"/>
      <c r="BJ184" s="413"/>
      <c r="BK184" s="413"/>
      <c r="BL184" s="413"/>
      <c r="BM184" s="413"/>
      <c r="BN184" s="413"/>
      <c r="BO184" s="413"/>
      <c r="BP184" s="413"/>
      <c r="BQ184" s="413"/>
      <c r="BR184" s="413"/>
      <c r="BS184" s="413"/>
      <c r="BT184" s="413" t="s">
        <v>234</v>
      </c>
      <c r="BU184" s="413"/>
      <c r="BV184" s="413"/>
      <c r="BW184" s="413"/>
      <c r="BX184" s="413"/>
      <c r="BY184" s="413"/>
      <c r="BZ184" s="413"/>
      <c r="CA184" s="413"/>
      <c r="CB184" s="413"/>
      <c r="CC184" s="413"/>
      <c r="CD184" s="413"/>
      <c r="CE184" s="413"/>
      <c r="CF184" s="413"/>
      <c r="CG184" s="413"/>
      <c r="CH184" s="413"/>
      <c r="CI184" s="413"/>
      <c r="CJ184" s="490">
        <f>SUM(CJ176:CJ183)</f>
        <v>5310000</v>
      </c>
      <c r="CK184" s="413"/>
      <c r="CL184" s="413"/>
      <c r="CM184" s="413"/>
      <c r="CN184" s="413"/>
      <c r="CO184" s="413"/>
      <c r="CP184" s="413"/>
      <c r="CQ184" s="413"/>
      <c r="CR184" s="413"/>
      <c r="CS184" s="413"/>
      <c r="CT184" s="413"/>
      <c r="CU184" s="413"/>
      <c r="CV184" s="413"/>
      <c r="CW184" s="413"/>
      <c r="CX184" s="413"/>
      <c r="CY184" s="413"/>
      <c r="CZ184" s="413"/>
      <c r="DA184" s="413"/>
    </row>
    <row r="185" spans="1:105" s="83" customFormat="1" ht="1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</row>
    <row r="186" spans="1:105" s="84" customFormat="1" ht="15" customHeight="1">
      <c r="A186" s="199" t="s">
        <v>302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</row>
    <row r="187" spans="1:105" s="84" customFormat="1" ht="1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</row>
    <row r="188" spans="1:105" s="84" customFormat="1" ht="26.25" customHeight="1">
      <c r="A188" s="419" t="s">
        <v>192</v>
      </c>
      <c r="B188" s="420"/>
      <c r="C188" s="420"/>
      <c r="D188" s="420"/>
      <c r="E188" s="420"/>
      <c r="F188" s="420"/>
      <c r="G188" s="421"/>
      <c r="H188" s="201" t="s">
        <v>273</v>
      </c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  <c r="BP188" s="202"/>
      <c r="BQ188" s="202"/>
      <c r="BR188" s="202"/>
      <c r="BS188" s="203"/>
      <c r="BT188" s="419" t="s">
        <v>303</v>
      </c>
      <c r="BU188" s="420"/>
      <c r="BV188" s="420"/>
      <c r="BW188" s="420"/>
      <c r="BX188" s="420"/>
      <c r="BY188" s="420"/>
      <c r="BZ188" s="420"/>
      <c r="CA188" s="420"/>
      <c r="CB188" s="420"/>
      <c r="CC188" s="420"/>
      <c r="CD188" s="420"/>
      <c r="CE188" s="420"/>
      <c r="CF188" s="420"/>
      <c r="CG188" s="420"/>
      <c r="CH188" s="420"/>
      <c r="CI188" s="421"/>
      <c r="CJ188" s="419" t="s">
        <v>304</v>
      </c>
      <c r="CK188" s="420"/>
      <c r="CL188" s="420"/>
      <c r="CM188" s="420"/>
      <c r="CN188" s="420"/>
      <c r="CO188" s="420"/>
      <c r="CP188" s="420"/>
      <c r="CQ188" s="420"/>
      <c r="CR188" s="420"/>
      <c r="CS188" s="420"/>
      <c r="CT188" s="420"/>
      <c r="CU188" s="420"/>
      <c r="CV188" s="420"/>
      <c r="CW188" s="420"/>
      <c r="CX188" s="420"/>
      <c r="CY188" s="420"/>
      <c r="CZ188" s="420"/>
      <c r="DA188" s="421"/>
    </row>
    <row r="189" spans="1:105" ht="12" customHeight="1">
      <c r="A189" s="416">
        <v>1</v>
      </c>
      <c r="B189" s="416"/>
      <c r="C189" s="416"/>
      <c r="D189" s="416"/>
      <c r="E189" s="416"/>
      <c r="F189" s="416"/>
      <c r="G189" s="416"/>
      <c r="H189" s="196">
        <v>2</v>
      </c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7"/>
      <c r="AN189" s="197"/>
      <c r="AO189" s="197"/>
      <c r="AP189" s="197"/>
      <c r="AQ189" s="197"/>
      <c r="AR189" s="197"/>
      <c r="AS189" s="197"/>
      <c r="AT189" s="197"/>
      <c r="AU189" s="197"/>
      <c r="AV189" s="197"/>
      <c r="AW189" s="197"/>
      <c r="AX189" s="197"/>
      <c r="AY189" s="197"/>
      <c r="AZ189" s="197"/>
      <c r="BA189" s="197"/>
      <c r="BB189" s="197"/>
      <c r="BC189" s="197"/>
      <c r="BD189" s="197"/>
      <c r="BE189" s="197"/>
      <c r="BF189" s="197"/>
      <c r="BG189" s="197"/>
      <c r="BH189" s="197"/>
      <c r="BI189" s="197"/>
      <c r="BJ189" s="197"/>
      <c r="BK189" s="197"/>
      <c r="BL189" s="197"/>
      <c r="BM189" s="197"/>
      <c r="BN189" s="197"/>
      <c r="BO189" s="197"/>
      <c r="BP189" s="197"/>
      <c r="BQ189" s="197"/>
      <c r="BR189" s="197"/>
      <c r="BS189" s="198"/>
      <c r="BT189" s="416">
        <v>3</v>
      </c>
      <c r="BU189" s="416"/>
      <c r="BV189" s="416"/>
      <c r="BW189" s="416"/>
      <c r="BX189" s="416"/>
      <c r="BY189" s="416"/>
      <c r="BZ189" s="416"/>
      <c r="CA189" s="416"/>
      <c r="CB189" s="416"/>
      <c r="CC189" s="416"/>
      <c r="CD189" s="416"/>
      <c r="CE189" s="416"/>
      <c r="CF189" s="416"/>
      <c r="CG189" s="416"/>
      <c r="CH189" s="416"/>
      <c r="CI189" s="416"/>
      <c r="CJ189" s="416">
        <v>4</v>
      </c>
      <c r="CK189" s="416"/>
      <c r="CL189" s="416"/>
      <c r="CM189" s="416"/>
      <c r="CN189" s="416"/>
      <c r="CO189" s="416"/>
      <c r="CP189" s="416"/>
      <c r="CQ189" s="416"/>
      <c r="CR189" s="416"/>
      <c r="CS189" s="416"/>
      <c r="CT189" s="416"/>
      <c r="CU189" s="416"/>
      <c r="CV189" s="416"/>
      <c r="CW189" s="416"/>
      <c r="CX189" s="416"/>
      <c r="CY189" s="416"/>
      <c r="CZ189" s="416"/>
      <c r="DA189" s="416"/>
    </row>
    <row r="190" spans="1:105" ht="12" customHeight="1">
      <c r="A190" s="407" t="s">
        <v>169</v>
      </c>
      <c r="B190" s="407"/>
      <c r="C190" s="407"/>
      <c r="D190" s="407"/>
      <c r="E190" s="407"/>
      <c r="F190" s="407"/>
      <c r="G190" s="407"/>
      <c r="H190" s="434" t="s">
        <v>420</v>
      </c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35"/>
      <c r="AE190" s="435"/>
      <c r="AF190" s="435"/>
      <c r="AG190" s="435"/>
      <c r="AH190" s="435"/>
      <c r="AI190" s="435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435"/>
      <c r="AV190" s="435"/>
      <c r="AW190" s="435"/>
      <c r="AX190" s="435"/>
      <c r="AY190" s="435"/>
      <c r="AZ190" s="435"/>
      <c r="BA190" s="435"/>
      <c r="BB190" s="435"/>
      <c r="BC190" s="435"/>
      <c r="BD190" s="435"/>
      <c r="BE190" s="435"/>
      <c r="BF190" s="435"/>
      <c r="BG190" s="435"/>
      <c r="BH190" s="435"/>
      <c r="BI190" s="435"/>
      <c r="BJ190" s="435"/>
      <c r="BK190" s="435"/>
      <c r="BL190" s="435"/>
      <c r="BM190" s="435"/>
      <c r="BN190" s="435"/>
      <c r="BO190" s="435"/>
      <c r="BP190" s="435"/>
      <c r="BQ190" s="435"/>
      <c r="BR190" s="435"/>
      <c r="BS190" s="436"/>
      <c r="BT190" s="409">
        <v>1</v>
      </c>
      <c r="BU190" s="409"/>
      <c r="BV190" s="409"/>
      <c r="BW190" s="409"/>
      <c r="BX190" s="409"/>
      <c r="BY190" s="409"/>
      <c r="BZ190" s="409"/>
      <c r="CA190" s="409"/>
      <c r="CB190" s="409"/>
      <c r="CC190" s="409"/>
      <c r="CD190" s="409"/>
      <c r="CE190" s="409"/>
      <c r="CF190" s="409"/>
      <c r="CG190" s="409"/>
      <c r="CH190" s="409"/>
      <c r="CI190" s="409"/>
      <c r="CJ190" s="501">
        <v>150000</v>
      </c>
      <c r="CK190" s="501"/>
      <c r="CL190" s="501"/>
      <c r="CM190" s="501"/>
      <c r="CN190" s="501"/>
      <c r="CO190" s="501"/>
      <c r="CP190" s="501"/>
      <c r="CQ190" s="501"/>
      <c r="CR190" s="501"/>
      <c r="CS190" s="501"/>
      <c r="CT190" s="501"/>
      <c r="CU190" s="501"/>
      <c r="CV190" s="501"/>
      <c r="CW190" s="501"/>
      <c r="CX190" s="501"/>
      <c r="CY190" s="501"/>
      <c r="CZ190" s="501"/>
      <c r="DA190" s="501"/>
    </row>
    <row r="191" spans="1:105" ht="12" customHeight="1">
      <c r="A191" s="407" t="s">
        <v>37</v>
      </c>
      <c r="B191" s="407"/>
      <c r="C191" s="407"/>
      <c r="D191" s="407"/>
      <c r="E191" s="407"/>
      <c r="F191" s="407"/>
      <c r="G191" s="407"/>
      <c r="H191" s="434" t="s">
        <v>541</v>
      </c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  <c r="AB191" s="435"/>
      <c r="AC191" s="435"/>
      <c r="AD191" s="435"/>
      <c r="AE191" s="435"/>
      <c r="AF191" s="435"/>
      <c r="AG191" s="435"/>
      <c r="AH191" s="435"/>
      <c r="AI191" s="435"/>
      <c r="AJ191" s="435"/>
      <c r="AK191" s="435"/>
      <c r="AL191" s="435"/>
      <c r="AM191" s="435"/>
      <c r="AN191" s="435"/>
      <c r="AO191" s="435"/>
      <c r="AP191" s="435"/>
      <c r="AQ191" s="435"/>
      <c r="AR191" s="435"/>
      <c r="AS191" s="435"/>
      <c r="AT191" s="435"/>
      <c r="AU191" s="435"/>
      <c r="AV191" s="435"/>
      <c r="AW191" s="435"/>
      <c r="AX191" s="435"/>
      <c r="AY191" s="435"/>
      <c r="AZ191" s="435"/>
      <c r="BA191" s="435"/>
      <c r="BB191" s="435"/>
      <c r="BC191" s="435"/>
      <c r="BD191" s="435"/>
      <c r="BE191" s="435"/>
      <c r="BF191" s="435"/>
      <c r="BG191" s="435"/>
      <c r="BH191" s="435"/>
      <c r="BI191" s="435"/>
      <c r="BJ191" s="435"/>
      <c r="BK191" s="435"/>
      <c r="BL191" s="435"/>
      <c r="BM191" s="435"/>
      <c r="BN191" s="435"/>
      <c r="BO191" s="435"/>
      <c r="BP191" s="435"/>
      <c r="BQ191" s="435"/>
      <c r="BR191" s="435"/>
      <c r="BS191" s="436"/>
      <c r="BT191" s="409"/>
      <c r="BU191" s="409"/>
      <c r="BV191" s="409"/>
      <c r="BW191" s="409"/>
      <c r="BX191" s="409"/>
      <c r="BY191" s="409"/>
      <c r="BZ191" s="409"/>
      <c r="CA191" s="409"/>
      <c r="CB191" s="409"/>
      <c r="CC191" s="409"/>
      <c r="CD191" s="409"/>
      <c r="CE191" s="409"/>
      <c r="CF191" s="409"/>
      <c r="CG191" s="409"/>
      <c r="CH191" s="409"/>
      <c r="CI191" s="409"/>
      <c r="CJ191" s="501">
        <v>500000</v>
      </c>
      <c r="CK191" s="501"/>
      <c r="CL191" s="501"/>
      <c r="CM191" s="501"/>
      <c r="CN191" s="501"/>
      <c r="CO191" s="501"/>
      <c r="CP191" s="501"/>
      <c r="CQ191" s="501"/>
      <c r="CR191" s="501"/>
      <c r="CS191" s="501"/>
      <c r="CT191" s="501"/>
      <c r="CU191" s="501"/>
      <c r="CV191" s="501"/>
      <c r="CW191" s="501"/>
      <c r="CX191" s="501"/>
      <c r="CY191" s="501"/>
      <c r="CZ191" s="501"/>
      <c r="DA191" s="501"/>
    </row>
    <row r="192" spans="1:105" ht="12" customHeight="1">
      <c r="A192" s="407" t="s">
        <v>38</v>
      </c>
      <c r="B192" s="407"/>
      <c r="C192" s="407"/>
      <c r="D192" s="407"/>
      <c r="E192" s="407"/>
      <c r="F192" s="407"/>
      <c r="G192" s="407"/>
      <c r="H192" s="434" t="s">
        <v>422</v>
      </c>
      <c r="I192" s="435"/>
      <c r="J192" s="435"/>
      <c r="K192" s="435"/>
      <c r="L192" s="435"/>
      <c r="M192" s="435"/>
      <c r="N192" s="435"/>
      <c r="O192" s="435"/>
      <c r="P192" s="435"/>
      <c r="Q192" s="435"/>
      <c r="R192" s="435"/>
      <c r="S192" s="435"/>
      <c r="T192" s="435"/>
      <c r="U192" s="435"/>
      <c r="V192" s="435"/>
      <c r="W192" s="435"/>
      <c r="X192" s="435"/>
      <c r="Y192" s="435"/>
      <c r="Z192" s="435"/>
      <c r="AA192" s="435"/>
      <c r="AB192" s="435"/>
      <c r="AC192" s="435"/>
      <c r="AD192" s="435"/>
      <c r="AE192" s="435"/>
      <c r="AF192" s="435"/>
      <c r="AG192" s="435"/>
      <c r="AH192" s="435"/>
      <c r="AI192" s="435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435"/>
      <c r="AV192" s="435"/>
      <c r="AW192" s="435"/>
      <c r="AX192" s="435"/>
      <c r="AY192" s="435"/>
      <c r="AZ192" s="435"/>
      <c r="BA192" s="435"/>
      <c r="BB192" s="435"/>
      <c r="BC192" s="435"/>
      <c r="BD192" s="435"/>
      <c r="BE192" s="435"/>
      <c r="BF192" s="435"/>
      <c r="BG192" s="435"/>
      <c r="BH192" s="435"/>
      <c r="BI192" s="435"/>
      <c r="BJ192" s="435"/>
      <c r="BK192" s="435"/>
      <c r="BL192" s="435"/>
      <c r="BM192" s="435"/>
      <c r="BN192" s="435"/>
      <c r="BO192" s="435"/>
      <c r="BP192" s="435"/>
      <c r="BQ192" s="435"/>
      <c r="BR192" s="435"/>
      <c r="BS192" s="436"/>
      <c r="BT192" s="409"/>
      <c r="BU192" s="409"/>
      <c r="BV192" s="409"/>
      <c r="BW192" s="409"/>
      <c r="BX192" s="409"/>
      <c r="BY192" s="409"/>
      <c r="BZ192" s="409"/>
      <c r="CA192" s="409"/>
      <c r="CB192" s="409"/>
      <c r="CC192" s="409"/>
      <c r="CD192" s="409"/>
      <c r="CE192" s="409"/>
      <c r="CF192" s="409"/>
      <c r="CG192" s="409"/>
      <c r="CH192" s="409"/>
      <c r="CI192" s="409"/>
      <c r="CJ192" s="501">
        <v>100000</v>
      </c>
      <c r="CK192" s="501"/>
      <c r="CL192" s="501"/>
      <c r="CM192" s="501"/>
      <c r="CN192" s="501"/>
      <c r="CO192" s="501"/>
      <c r="CP192" s="501"/>
      <c r="CQ192" s="501"/>
      <c r="CR192" s="501"/>
      <c r="CS192" s="501"/>
      <c r="CT192" s="501"/>
      <c r="CU192" s="501"/>
      <c r="CV192" s="501"/>
      <c r="CW192" s="501"/>
      <c r="CX192" s="501"/>
      <c r="CY192" s="501"/>
      <c r="CZ192" s="501"/>
      <c r="DA192" s="501"/>
    </row>
    <row r="193" spans="1:105" ht="12" customHeight="1">
      <c r="A193" s="407" t="s">
        <v>319</v>
      </c>
      <c r="B193" s="407"/>
      <c r="C193" s="407"/>
      <c r="D193" s="407"/>
      <c r="E193" s="407"/>
      <c r="F193" s="407"/>
      <c r="G193" s="407"/>
      <c r="H193" s="434" t="s">
        <v>542</v>
      </c>
      <c r="I193" s="435"/>
      <c r="J193" s="435"/>
      <c r="K193" s="435"/>
      <c r="L193" s="435"/>
      <c r="M193" s="435"/>
      <c r="N193" s="435"/>
      <c r="O193" s="435"/>
      <c r="P193" s="435"/>
      <c r="Q193" s="435"/>
      <c r="R193" s="435"/>
      <c r="S193" s="435"/>
      <c r="T193" s="435"/>
      <c r="U193" s="435"/>
      <c r="V193" s="435"/>
      <c r="W193" s="435"/>
      <c r="X193" s="435"/>
      <c r="Y193" s="435"/>
      <c r="Z193" s="435"/>
      <c r="AA193" s="435"/>
      <c r="AB193" s="435"/>
      <c r="AC193" s="435"/>
      <c r="AD193" s="435"/>
      <c r="AE193" s="435"/>
      <c r="AF193" s="435"/>
      <c r="AG193" s="435"/>
      <c r="AH193" s="435"/>
      <c r="AI193" s="435"/>
      <c r="AJ193" s="435"/>
      <c r="AK193" s="435"/>
      <c r="AL193" s="435"/>
      <c r="AM193" s="435"/>
      <c r="AN193" s="435"/>
      <c r="AO193" s="435"/>
      <c r="AP193" s="435"/>
      <c r="AQ193" s="435"/>
      <c r="AR193" s="435"/>
      <c r="AS193" s="435"/>
      <c r="AT193" s="435"/>
      <c r="AU193" s="435"/>
      <c r="AV193" s="435"/>
      <c r="AW193" s="435"/>
      <c r="AX193" s="435"/>
      <c r="AY193" s="435"/>
      <c r="AZ193" s="435"/>
      <c r="BA193" s="435"/>
      <c r="BB193" s="435"/>
      <c r="BC193" s="435"/>
      <c r="BD193" s="435"/>
      <c r="BE193" s="435"/>
      <c r="BF193" s="435"/>
      <c r="BG193" s="435"/>
      <c r="BH193" s="435"/>
      <c r="BI193" s="435"/>
      <c r="BJ193" s="435"/>
      <c r="BK193" s="435"/>
      <c r="BL193" s="435"/>
      <c r="BM193" s="435"/>
      <c r="BN193" s="435"/>
      <c r="BO193" s="435"/>
      <c r="BP193" s="435"/>
      <c r="BQ193" s="435"/>
      <c r="BR193" s="435"/>
      <c r="BS193" s="436"/>
      <c r="BT193" s="409"/>
      <c r="BU193" s="409"/>
      <c r="BV193" s="409"/>
      <c r="BW193" s="409"/>
      <c r="BX193" s="409"/>
      <c r="BY193" s="409"/>
      <c r="BZ193" s="409"/>
      <c r="CA193" s="409"/>
      <c r="CB193" s="409"/>
      <c r="CC193" s="409"/>
      <c r="CD193" s="409"/>
      <c r="CE193" s="409"/>
      <c r="CF193" s="409"/>
      <c r="CG193" s="409"/>
      <c r="CH193" s="409"/>
      <c r="CI193" s="409"/>
      <c r="CJ193" s="501">
        <v>100000</v>
      </c>
      <c r="CK193" s="501"/>
      <c r="CL193" s="501"/>
      <c r="CM193" s="501"/>
      <c r="CN193" s="501"/>
      <c r="CO193" s="501"/>
      <c r="CP193" s="501"/>
      <c r="CQ193" s="501"/>
      <c r="CR193" s="501"/>
      <c r="CS193" s="501"/>
      <c r="CT193" s="501"/>
      <c r="CU193" s="501"/>
      <c r="CV193" s="501"/>
      <c r="CW193" s="501"/>
      <c r="CX193" s="501"/>
      <c r="CY193" s="501"/>
      <c r="CZ193" s="501"/>
      <c r="DA193" s="501"/>
    </row>
    <row r="194" spans="1:105" ht="12" customHeight="1">
      <c r="A194" s="407" t="s">
        <v>320</v>
      </c>
      <c r="B194" s="407"/>
      <c r="C194" s="407"/>
      <c r="D194" s="407"/>
      <c r="E194" s="407"/>
      <c r="F194" s="407"/>
      <c r="G194" s="407"/>
      <c r="H194" s="434" t="s">
        <v>424</v>
      </c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35"/>
      <c r="AE194" s="435"/>
      <c r="AF194" s="435"/>
      <c r="AG194" s="435"/>
      <c r="AH194" s="435"/>
      <c r="AI194" s="435"/>
      <c r="AJ194" s="435"/>
      <c r="AK194" s="435"/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435"/>
      <c r="AW194" s="435"/>
      <c r="AX194" s="435"/>
      <c r="AY194" s="435"/>
      <c r="AZ194" s="435"/>
      <c r="BA194" s="435"/>
      <c r="BB194" s="435"/>
      <c r="BC194" s="435"/>
      <c r="BD194" s="435"/>
      <c r="BE194" s="435"/>
      <c r="BF194" s="435"/>
      <c r="BG194" s="435"/>
      <c r="BH194" s="435"/>
      <c r="BI194" s="435"/>
      <c r="BJ194" s="435"/>
      <c r="BK194" s="435"/>
      <c r="BL194" s="435"/>
      <c r="BM194" s="435"/>
      <c r="BN194" s="435"/>
      <c r="BO194" s="435"/>
      <c r="BP194" s="435"/>
      <c r="BQ194" s="435"/>
      <c r="BR194" s="435"/>
      <c r="BS194" s="436"/>
      <c r="BT194" s="409"/>
      <c r="BU194" s="409"/>
      <c r="BV194" s="409"/>
      <c r="BW194" s="409"/>
      <c r="BX194" s="409"/>
      <c r="BY194" s="409"/>
      <c r="BZ194" s="409"/>
      <c r="CA194" s="409"/>
      <c r="CB194" s="409"/>
      <c r="CC194" s="409"/>
      <c r="CD194" s="409"/>
      <c r="CE194" s="409"/>
      <c r="CF194" s="409"/>
      <c r="CG194" s="409"/>
      <c r="CH194" s="409"/>
      <c r="CI194" s="409"/>
      <c r="CJ194" s="501">
        <v>600000</v>
      </c>
      <c r="CK194" s="501"/>
      <c r="CL194" s="501"/>
      <c r="CM194" s="501"/>
      <c r="CN194" s="501"/>
      <c r="CO194" s="501"/>
      <c r="CP194" s="501"/>
      <c r="CQ194" s="501"/>
      <c r="CR194" s="501"/>
      <c r="CS194" s="501"/>
      <c r="CT194" s="501"/>
      <c r="CU194" s="501"/>
      <c r="CV194" s="501"/>
      <c r="CW194" s="501"/>
      <c r="CX194" s="501"/>
      <c r="CY194" s="501"/>
      <c r="CZ194" s="501"/>
      <c r="DA194" s="501"/>
    </row>
    <row r="195" spans="1:105" ht="11.25" customHeight="1">
      <c r="A195" s="407" t="s">
        <v>321</v>
      </c>
      <c r="B195" s="407"/>
      <c r="C195" s="407"/>
      <c r="D195" s="407"/>
      <c r="E195" s="407"/>
      <c r="F195" s="407"/>
      <c r="G195" s="407"/>
      <c r="H195" s="434" t="s">
        <v>543</v>
      </c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  <c r="AA195" s="435"/>
      <c r="AB195" s="435"/>
      <c r="AC195" s="435"/>
      <c r="AD195" s="435"/>
      <c r="AE195" s="435"/>
      <c r="AF195" s="435"/>
      <c r="AG195" s="435"/>
      <c r="AH195" s="435"/>
      <c r="AI195" s="435"/>
      <c r="AJ195" s="435"/>
      <c r="AK195" s="435"/>
      <c r="AL195" s="435"/>
      <c r="AM195" s="435"/>
      <c r="AN195" s="435"/>
      <c r="AO195" s="435"/>
      <c r="AP195" s="435"/>
      <c r="AQ195" s="435"/>
      <c r="AR195" s="435"/>
      <c r="AS195" s="435"/>
      <c r="AT195" s="435"/>
      <c r="AU195" s="435"/>
      <c r="AV195" s="435"/>
      <c r="AW195" s="435"/>
      <c r="AX195" s="435"/>
      <c r="AY195" s="435"/>
      <c r="AZ195" s="435"/>
      <c r="BA195" s="435"/>
      <c r="BB195" s="435"/>
      <c r="BC195" s="435"/>
      <c r="BD195" s="435"/>
      <c r="BE195" s="435"/>
      <c r="BF195" s="435"/>
      <c r="BG195" s="435"/>
      <c r="BH195" s="435"/>
      <c r="BI195" s="435"/>
      <c r="BJ195" s="435"/>
      <c r="BK195" s="435"/>
      <c r="BL195" s="435"/>
      <c r="BM195" s="435"/>
      <c r="BN195" s="435"/>
      <c r="BO195" s="435"/>
      <c r="BP195" s="435"/>
      <c r="BQ195" s="435"/>
      <c r="BR195" s="435"/>
      <c r="BS195" s="436"/>
      <c r="BT195" s="409"/>
      <c r="BU195" s="409"/>
      <c r="BV195" s="409"/>
      <c r="BW195" s="409"/>
      <c r="BX195" s="409"/>
      <c r="BY195" s="409"/>
      <c r="BZ195" s="409"/>
      <c r="CA195" s="409"/>
      <c r="CB195" s="409"/>
      <c r="CC195" s="409"/>
      <c r="CD195" s="409"/>
      <c r="CE195" s="409"/>
      <c r="CF195" s="409"/>
      <c r="CG195" s="409"/>
      <c r="CH195" s="409"/>
      <c r="CI195" s="409"/>
      <c r="CJ195" s="501">
        <v>40000</v>
      </c>
      <c r="CK195" s="501"/>
      <c r="CL195" s="501"/>
      <c r="CM195" s="501"/>
      <c r="CN195" s="501"/>
      <c r="CO195" s="501"/>
      <c r="CP195" s="501"/>
      <c r="CQ195" s="501"/>
      <c r="CR195" s="501"/>
      <c r="CS195" s="501"/>
      <c r="CT195" s="501"/>
      <c r="CU195" s="501"/>
      <c r="CV195" s="501"/>
      <c r="CW195" s="501"/>
      <c r="CX195" s="501"/>
      <c r="CY195" s="501"/>
      <c r="CZ195" s="501"/>
      <c r="DA195" s="501"/>
    </row>
    <row r="196" spans="1:105" ht="12" customHeight="1">
      <c r="A196" s="407" t="s">
        <v>322</v>
      </c>
      <c r="B196" s="407"/>
      <c r="C196" s="407"/>
      <c r="D196" s="407"/>
      <c r="E196" s="407"/>
      <c r="F196" s="407"/>
      <c r="G196" s="407"/>
      <c r="H196" s="434" t="s">
        <v>427</v>
      </c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  <c r="AA196" s="435"/>
      <c r="AB196" s="435"/>
      <c r="AC196" s="435"/>
      <c r="AD196" s="435"/>
      <c r="AE196" s="435"/>
      <c r="AF196" s="435"/>
      <c r="AG196" s="435"/>
      <c r="AH196" s="435"/>
      <c r="AI196" s="435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435"/>
      <c r="AV196" s="435"/>
      <c r="AW196" s="435"/>
      <c r="AX196" s="435"/>
      <c r="AY196" s="435"/>
      <c r="AZ196" s="435"/>
      <c r="BA196" s="435"/>
      <c r="BB196" s="435"/>
      <c r="BC196" s="435"/>
      <c r="BD196" s="435"/>
      <c r="BE196" s="435"/>
      <c r="BF196" s="435"/>
      <c r="BG196" s="435"/>
      <c r="BH196" s="435"/>
      <c r="BI196" s="435"/>
      <c r="BJ196" s="435"/>
      <c r="BK196" s="435"/>
      <c r="BL196" s="435"/>
      <c r="BM196" s="435"/>
      <c r="BN196" s="435"/>
      <c r="BO196" s="435"/>
      <c r="BP196" s="435"/>
      <c r="BQ196" s="435"/>
      <c r="BR196" s="435"/>
      <c r="BS196" s="436"/>
      <c r="BT196" s="409"/>
      <c r="BU196" s="409"/>
      <c r="BV196" s="409"/>
      <c r="BW196" s="409"/>
      <c r="BX196" s="409"/>
      <c r="BY196" s="409"/>
      <c r="BZ196" s="409"/>
      <c r="CA196" s="409"/>
      <c r="CB196" s="409"/>
      <c r="CC196" s="409"/>
      <c r="CD196" s="409"/>
      <c r="CE196" s="409"/>
      <c r="CF196" s="409"/>
      <c r="CG196" s="409"/>
      <c r="CH196" s="409"/>
      <c r="CI196" s="409"/>
      <c r="CJ196" s="501">
        <v>1100000</v>
      </c>
      <c r="CK196" s="501"/>
      <c r="CL196" s="501"/>
      <c r="CM196" s="501"/>
      <c r="CN196" s="501"/>
      <c r="CO196" s="501"/>
      <c r="CP196" s="501"/>
      <c r="CQ196" s="501"/>
      <c r="CR196" s="501"/>
      <c r="CS196" s="501"/>
      <c r="CT196" s="501"/>
      <c r="CU196" s="501"/>
      <c r="CV196" s="501"/>
      <c r="CW196" s="501"/>
      <c r="CX196" s="501"/>
      <c r="CY196" s="501"/>
      <c r="CZ196" s="501"/>
      <c r="DA196" s="501"/>
    </row>
    <row r="197" spans="1:105" ht="12" customHeight="1">
      <c r="A197" s="407" t="s">
        <v>323</v>
      </c>
      <c r="B197" s="407"/>
      <c r="C197" s="407"/>
      <c r="D197" s="407"/>
      <c r="E197" s="407"/>
      <c r="F197" s="407"/>
      <c r="G197" s="407"/>
      <c r="H197" s="434" t="s">
        <v>544</v>
      </c>
      <c r="I197" s="435"/>
      <c r="J197" s="435"/>
      <c r="K197" s="435"/>
      <c r="L197" s="435"/>
      <c r="M197" s="435"/>
      <c r="N197" s="435"/>
      <c r="O197" s="435"/>
      <c r="P197" s="435"/>
      <c r="Q197" s="435"/>
      <c r="R197" s="435"/>
      <c r="S197" s="435"/>
      <c r="T197" s="435"/>
      <c r="U197" s="435"/>
      <c r="V197" s="435"/>
      <c r="W197" s="435"/>
      <c r="X197" s="435"/>
      <c r="Y197" s="435"/>
      <c r="Z197" s="435"/>
      <c r="AA197" s="435"/>
      <c r="AB197" s="435"/>
      <c r="AC197" s="435"/>
      <c r="AD197" s="435"/>
      <c r="AE197" s="435"/>
      <c r="AF197" s="435"/>
      <c r="AG197" s="435"/>
      <c r="AH197" s="435"/>
      <c r="AI197" s="435"/>
      <c r="AJ197" s="435"/>
      <c r="AK197" s="435"/>
      <c r="AL197" s="435"/>
      <c r="AM197" s="435"/>
      <c r="AN197" s="435"/>
      <c r="AO197" s="435"/>
      <c r="AP197" s="435"/>
      <c r="AQ197" s="435"/>
      <c r="AR197" s="435"/>
      <c r="AS197" s="435"/>
      <c r="AT197" s="435"/>
      <c r="AU197" s="435"/>
      <c r="AV197" s="435"/>
      <c r="AW197" s="435"/>
      <c r="AX197" s="435"/>
      <c r="AY197" s="435"/>
      <c r="AZ197" s="435"/>
      <c r="BA197" s="435"/>
      <c r="BB197" s="435"/>
      <c r="BC197" s="435"/>
      <c r="BD197" s="435"/>
      <c r="BE197" s="435"/>
      <c r="BF197" s="435"/>
      <c r="BG197" s="435"/>
      <c r="BH197" s="435"/>
      <c r="BI197" s="435"/>
      <c r="BJ197" s="435"/>
      <c r="BK197" s="435"/>
      <c r="BL197" s="435"/>
      <c r="BM197" s="435"/>
      <c r="BN197" s="435"/>
      <c r="BO197" s="435"/>
      <c r="BP197" s="435"/>
      <c r="BQ197" s="435"/>
      <c r="BR197" s="435"/>
      <c r="BS197" s="436"/>
      <c r="BT197" s="409"/>
      <c r="BU197" s="409"/>
      <c r="BV197" s="409"/>
      <c r="BW197" s="409"/>
      <c r="BX197" s="409"/>
      <c r="BY197" s="409"/>
      <c r="BZ197" s="409"/>
      <c r="CA197" s="409"/>
      <c r="CB197" s="409"/>
      <c r="CC197" s="409"/>
      <c r="CD197" s="409"/>
      <c r="CE197" s="409"/>
      <c r="CF197" s="409"/>
      <c r="CG197" s="409"/>
      <c r="CH197" s="409"/>
      <c r="CI197" s="409"/>
      <c r="CJ197" s="501">
        <v>250000</v>
      </c>
      <c r="CK197" s="501"/>
      <c r="CL197" s="501"/>
      <c r="CM197" s="501"/>
      <c r="CN197" s="501"/>
      <c r="CO197" s="501"/>
      <c r="CP197" s="501"/>
      <c r="CQ197" s="501"/>
      <c r="CR197" s="501"/>
      <c r="CS197" s="501"/>
      <c r="CT197" s="501"/>
      <c r="CU197" s="501"/>
      <c r="CV197" s="501"/>
      <c r="CW197" s="501"/>
      <c r="CX197" s="501"/>
      <c r="CY197" s="501"/>
      <c r="CZ197" s="501"/>
      <c r="DA197" s="501"/>
    </row>
    <row r="198" spans="1:105" ht="12" customHeight="1">
      <c r="A198" s="407" t="s">
        <v>324</v>
      </c>
      <c r="B198" s="407"/>
      <c r="C198" s="407"/>
      <c r="D198" s="407"/>
      <c r="E198" s="407"/>
      <c r="F198" s="407"/>
      <c r="G198" s="407"/>
      <c r="H198" s="434" t="s">
        <v>545</v>
      </c>
      <c r="I198" s="435"/>
      <c r="J198" s="435"/>
      <c r="K198" s="435"/>
      <c r="L198" s="435"/>
      <c r="M198" s="435"/>
      <c r="N198" s="435"/>
      <c r="O198" s="435"/>
      <c r="P198" s="435"/>
      <c r="Q198" s="435"/>
      <c r="R198" s="435"/>
      <c r="S198" s="435"/>
      <c r="T198" s="435"/>
      <c r="U198" s="435"/>
      <c r="V198" s="435"/>
      <c r="W198" s="435"/>
      <c r="X198" s="435"/>
      <c r="Y198" s="435"/>
      <c r="Z198" s="435"/>
      <c r="AA198" s="435"/>
      <c r="AB198" s="435"/>
      <c r="AC198" s="435"/>
      <c r="AD198" s="435"/>
      <c r="AE198" s="435"/>
      <c r="AF198" s="435"/>
      <c r="AG198" s="435"/>
      <c r="AH198" s="435"/>
      <c r="AI198" s="435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435"/>
      <c r="AV198" s="435"/>
      <c r="AW198" s="435"/>
      <c r="AX198" s="435"/>
      <c r="AY198" s="435"/>
      <c r="AZ198" s="435"/>
      <c r="BA198" s="435"/>
      <c r="BB198" s="435"/>
      <c r="BC198" s="435"/>
      <c r="BD198" s="435"/>
      <c r="BE198" s="435"/>
      <c r="BF198" s="435"/>
      <c r="BG198" s="435"/>
      <c r="BH198" s="435"/>
      <c r="BI198" s="435"/>
      <c r="BJ198" s="435"/>
      <c r="BK198" s="435"/>
      <c r="BL198" s="435"/>
      <c r="BM198" s="435"/>
      <c r="BN198" s="435"/>
      <c r="BO198" s="435"/>
      <c r="BP198" s="435"/>
      <c r="BQ198" s="435"/>
      <c r="BR198" s="435"/>
      <c r="BS198" s="436"/>
      <c r="BT198" s="409"/>
      <c r="BU198" s="409"/>
      <c r="BV198" s="409"/>
      <c r="BW198" s="409"/>
      <c r="BX198" s="409"/>
      <c r="BY198" s="409"/>
      <c r="BZ198" s="409"/>
      <c r="CA198" s="409"/>
      <c r="CB198" s="409"/>
      <c r="CC198" s="409"/>
      <c r="CD198" s="409"/>
      <c r="CE198" s="409"/>
      <c r="CF198" s="409"/>
      <c r="CG198" s="409"/>
      <c r="CH198" s="409"/>
      <c r="CI198" s="409"/>
      <c r="CJ198" s="501">
        <v>10000</v>
      </c>
      <c r="CK198" s="501"/>
      <c r="CL198" s="501"/>
      <c r="CM198" s="501"/>
      <c r="CN198" s="501"/>
      <c r="CO198" s="501"/>
      <c r="CP198" s="501"/>
      <c r="CQ198" s="501"/>
      <c r="CR198" s="501"/>
      <c r="CS198" s="501"/>
      <c r="CT198" s="501"/>
      <c r="CU198" s="501"/>
      <c r="CV198" s="501"/>
      <c r="CW198" s="501"/>
      <c r="CX198" s="501"/>
      <c r="CY198" s="501"/>
      <c r="CZ198" s="501"/>
      <c r="DA198" s="501"/>
    </row>
    <row r="199" spans="1:105" ht="12" customHeight="1">
      <c r="A199" s="407" t="s">
        <v>325</v>
      </c>
      <c r="B199" s="407"/>
      <c r="C199" s="407"/>
      <c r="D199" s="407"/>
      <c r="E199" s="407"/>
      <c r="F199" s="407"/>
      <c r="G199" s="407"/>
      <c r="H199" s="434" t="s">
        <v>546</v>
      </c>
      <c r="I199" s="435"/>
      <c r="J199" s="435"/>
      <c r="K199" s="435"/>
      <c r="L199" s="435"/>
      <c r="M199" s="435"/>
      <c r="N199" s="435"/>
      <c r="O199" s="435"/>
      <c r="P199" s="435"/>
      <c r="Q199" s="435"/>
      <c r="R199" s="435"/>
      <c r="S199" s="435"/>
      <c r="T199" s="435"/>
      <c r="U199" s="435"/>
      <c r="V199" s="435"/>
      <c r="W199" s="435"/>
      <c r="X199" s="435"/>
      <c r="Y199" s="435"/>
      <c r="Z199" s="435"/>
      <c r="AA199" s="435"/>
      <c r="AB199" s="435"/>
      <c r="AC199" s="435"/>
      <c r="AD199" s="435"/>
      <c r="AE199" s="435"/>
      <c r="AF199" s="435"/>
      <c r="AG199" s="435"/>
      <c r="AH199" s="435"/>
      <c r="AI199" s="435"/>
      <c r="AJ199" s="435"/>
      <c r="AK199" s="435"/>
      <c r="AL199" s="435"/>
      <c r="AM199" s="435"/>
      <c r="AN199" s="435"/>
      <c r="AO199" s="435"/>
      <c r="AP199" s="435"/>
      <c r="AQ199" s="435"/>
      <c r="AR199" s="435"/>
      <c r="AS199" s="435"/>
      <c r="AT199" s="435"/>
      <c r="AU199" s="435"/>
      <c r="AV199" s="435"/>
      <c r="AW199" s="435"/>
      <c r="AX199" s="435"/>
      <c r="AY199" s="435"/>
      <c r="AZ199" s="435"/>
      <c r="BA199" s="435"/>
      <c r="BB199" s="435"/>
      <c r="BC199" s="435"/>
      <c r="BD199" s="435"/>
      <c r="BE199" s="435"/>
      <c r="BF199" s="435"/>
      <c r="BG199" s="435"/>
      <c r="BH199" s="435"/>
      <c r="BI199" s="435"/>
      <c r="BJ199" s="435"/>
      <c r="BK199" s="435"/>
      <c r="BL199" s="435"/>
      <c r="BM199" s="435"/>
      <c r="BN199" s="435"/>
      <c r="BO199" s="435"/>
      <c r="BP199" s="435"/>
      <c r="BQ199" s="435"/>
      <c r="BR199" s="435"/>
      <c r="BS199" s="436"/>
      <c r="BT199" s="409"/>
      <c r="BU199" s="409"/>
      <c r="BV199" s="409"/>
      <c r="BW199" s="409"/>
      <c r="BX199" s="409"/>
      <c r="BY199" s="409"/>
      <c r="BZ199" s="409"/>
      <c r="CA199" s="409"/>
      <c r="CB199" s="409"/>
      <c r="CC199" s="409"/>
      <c r="CD199" s="409"/>
      <c r="CE199" s="409"/>
      <c r="CF199" s="409"/>
      <c r="CG199" s="409"/>
      <c r="CH199" s="409"/>
      <c r="CI199" s="409"/>
      <c r="CJ199" s="501">
        <v>2300000</v>
      </c>
      <c r="CK199" s="501"/>
      <c r="CL199" s="501"/>
      <c r="CM199" s="501"/>
      <c r="CN199" s="501"/>
      <c r="CO199" s="501"/>
      <c r="CP199" s="501"/>
      <c r="CQ199" s="501"/>
      <c r="CR199" s="501"/>
      <c r="CS199" s="501"/>
      <c r="CT199" s="501"/>
      <c r="CU199" s="501"/>
      <c r="CV199" s="501"/>
      <c r="CW199" s="501"/>
      <c r="CX199" s="501"/>
      <c r="CY199" s="501"/>
      <c r="CZ199" s="501"/>
      <c r="DA199" s="501"/>
    </row>
    <row r="200" spans="1:105" ht="12" customHeight="1">
      <c r="A200" s="407" t="s">
        <v>326</v>
      </c>
      <c r="B200" s="407"/>
      <c r="C200" s="407"/>
      <c r="D200" s="407"/>
      <c r="E200" s="407"/>
      <c r="F200" s="407"/>
      <c r="G200" s="407"/>
      <c r="H200" s="434" t="s">
        <v>547</v>
      </c>
      <c r="I200" s="435"/>
      <c r="J200" s="435"/>
      <c r="K200" s="435"/>
      <c r="L200" s="435"/>
      <c r="M200" s="435"/>
      <c r="N200" s="435"/>
      <c r="O200" s="435"/>
      <c r="P200" s="435"/>
      <c r="Q200" s="435"/>
      <c r="R200" s="435"/>
      <c r="S200" s="435"/>
      <c r="T200" s="435"/>
      <c r="U200" s="435"/>
      <c r="V200" s="435"/>
      <c r="W200" s="435"/>
      <c r="X200" s="435"/>
      <c r="Y200" s="435"/>
      <c r="Z200" s="435"/>
      <c r="AA200" s="435"/>
      <c r="AB200" s="435"/>
      <c r="AC200" s="435"/>
      <c r="AD200" s="435"/>
      <c r="AE200" s="435"/>
      <c r="AF200" s="435"/>
      <c r="AG200" s="435"/>
      <c r="AH200" s="435"/>
      <c r="AI200" s="435"/>
      <c r="AJ200" s="435"/>
      <c r="AK200" s="435"/>
      <c r="AL200" s="435"/>
      <c r="AM200" s="435"/>
      <c r="AN200" s="435"/>
      <c r="AO200" s="435"/>
      <c r="AP200" s="435"/>
      <c r="AQ200" s="435"/>
      <c r="AR200" s="435"/>
      <c r="AS200" s="435"/>
      <c r="AT200" s="435"/>
      <c r="AU200" s="435"/>
      <c r="AV200" s="435"/>
      <c r="AW200" s="435"/>
      <c r="AX200" s="435"/>
      <c r="AY200" s="435"/>
      <c r="AZ200" s="435"/>
      <c r="BA200" s="435"/>
      <c r="BB200" s="435"/>
      <c r="BC200" s="435"/>
      <c r="BD200" s="435"/>
      <c r="BE200" s="435"/>
      <c r="BF200" s="435"/>
      <c r="BG200" s="435"/>
      <c r="BH200" s="435"/>
      <c r="BI200" s="435"/>
      <c r="BJ200" s="435"/>
      <c r="BK200" s="435"/>
      <c r="BL200" s="435"/>
      <c r="BM200" s="435"/>
      <c r="BN200" s="435"/>
      <c r="BO200" s="435"/>
      <c r="BP200" s="435"/>
      <c r="BQ200" s="435"/>
      <c r="BR200" s="435"/>
      <c r="BS200" s="436"/>
      <c r="BT200" s="409"/>
      <c r="BU200" s="409"/>
      <c r="BV200" s="409"/>
      <c r="BW200" s="409"/>
      <c r="BX200" s="409"/>
      <c r="BY200" s="409"/>
      <c r="BZ200" s="409"/>
      <c r="CA200" s="409"/>
      <c r="CB200" s="409"/>
      <c r="CC200" s="409"/>
      <c r="CD200" s="409"/>
      <c r="CE200" s="409"/>
      <c r="CF200" s="409"/>
      <c r="CG200" s="409"/>
      <c r="CH200" s="409"/>
      <c r="CI200" s="409"/>
      <c r="CJ200" s="501">
        <f>13700000-1000000-5500000</f>
        <v>7200000</v>
      </c>
      <c r="CK200" s="501"/>
      <c r="CL200" s="501"/>
      <c r="CM200" s="501"/>
      <c r="CN200" s="501"/>
      <c r="CO200" s="501"/>
      <c r="CP200" s="501"/>
      <c r="CQ200" s="501"/>
      <c r="CR200" s="501"/>
      <c r="CS200" s="501"/>
      <c r="CT200" s="501"/>
      <c r="CU200" s="501"/>
      <c r="CV200" s="501"/>
      <c r="CW200" s="501"/>
      <c r="CX200" s="501"/>
      <c r="CY200" s="501"/>
      <c r="CZ200" s="501"/>
      <c r="DA200" s="501"/>
    </row>
    <row r="201" spans="1:105" ht="12" customHeight="1">
      <c r="A201" s="407" t="s">
        <v>327</v>
      </c>
      <c r="B201" s="407"/>
      <c r="C201" s="407"/>
      <c r="D201" s="407"/>
      <c r="E201" s="407"/>
      <c r="F201" s="407"/>
      <c r="G201" s="407"/>
      <c r="H201" s="434" t="s">
        <v>548</v>
      </c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  <c r="AA201" s="435"/>
      <c r="AB201" s="435"/>
      <c r="AC201" s="435"/>
      <c r="AD201" s="435"/>
      <c r="AE201" s="435"/>
      <c r="AF201" s="435"/>
      <c r="AG201" s="435"/>
      <c r="AH201" s="435"/>
      <c r="AI201" s="435"/>
      <c r="AJ201" s="435"/>
      <c r="AK201" s="435"/>
      <c r="AL201" s="435"/>
      <c r="AM201" s="435"/>
      <c r="AN201" s="435"/>
      <c r="AO201" s="435"/>
      <c r="AP201" s="435"/>
      <c r="AQ201" s="435"/>
      <c r="AR201" s="435"/>
      <c r="AS201" s="435"/>
      <c r="AT201" s="435"/>
      <c r="AU201" s="435"/>
      <c r="AV201" s="435"/>
      <c r="AW201" s="435"/>
      <c r="AX201" s="435"/>
      <c r="AY201" s="435"/>
      <c r="AZ201" s="435"/>
      <c r="BA201" s="435"/>
      <c r="BB201" s="435"/>
      <c r="BC201" s="435"/>
      <c r="BD201" s="435"/>
      <c r="BE201" s="435"/>
      <c r="BF201" s="435"/>
      <c r="BG201" s="435"/>
      <c r="BH201" s="435"/>
      <c r="BI201" s="435"/>
      <c r="BJ201" s="435"/>
      <c r="BK201" s="435"/>
      <c r="BL201" s="435"/>
      <c r="BM201" s="435"/>
      <c r="BN201" s="435"/>
      <c r="BO201" s="435"/>
      <c r="BP201" s="435"/>
      <c r="BQ201" s="435"/>
      <c r="BR201" s="435"/>
      <c r="BS201" s="436"/>
      <c r="BT201" s="409"/>
      <c r="BU201" s="409"/>
      <c r="BV201" s="409"/>
      <c r="BW201" s="409"/>
      <c r="BX201" s="409"/>
      <c r="BY201" s="409"/>
      <c r="BZ201" s="409"/>
      <c r="CA201" s="409"/>
      <c r="CB201" s="409"/>
      <c r="CC201" s="409"/>
      <c r="CD201" s="409"/>
      <c r="CE201" s="409"/>
      <c r="CF201" s="409"/>
      <c r="CG201" s="409"/>
      <c r="CH201" s="409"/>
      <c r="CI201" s="409"/>
      <c r="CJ201" s="501">
        <v>2520000</v>
      </c>
      <c r="CK201" s="501"/>
      <c r="CL201" s="501"/>
      <c r="CM201" s="501"/>
      <c r="CN201" s="501"/>
      <c r="CO201" s="501"/>
      <c r="CP201" s="501"/>
      <c r="CQ201" s="501"/>
      <c r="CR201" s="501"/>
      <c r="CS201" s="501"/>
      <c r="CT201" s="501"/>
      <c r="CU201" s="501"/>
      <c r="CV201" s="501"/>
      <c r="CW201" s="501"/>
      <c r="CX201" s="501"/>
      <c r="CY201" s="501"/>
      <c r="CZ201" s="501"/>
      <c r="DA201" s="501"/>
    </row>
    <row r="202" spans="1:105" ht="12" customHeight="1">
      <c r="A202" s="407" t="s">
        <v>328</v>
      </c>
      <c r="B202" s="407"/>
      <c r="C202" s="407"/>
      <c r="D202" s="407"/>
      <c r="E202" s="407"/>
      <c r="F202" s="407"/>
      <c r="G202" s="407"/>
      <c r="H202" s="434" t="s">
        <v>549</v>
      </c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  <c r="AA202" s="435"/>
      <c r="AB202" s="435"/>
      <c r="AC202" s="435"/>
      <c r="AD202" s="435"/>
      <c r="AE202" s="435"/>
      <c r="AF202" s="435"/>
      <c r="AG202" s="435"/>
      <c r="AH202" s="435"/>
      <c r="AI202" s="435"/>
      <c r="AJ202" s="435"/>
      <c r="AK202" s="435"/>
      <c r="AL202" s="435"/>
      <c r="AM202" s="435"/>
      <c r="AN202" s="435"/>
      <c r="AO202" s="435"/>
      <c r="AP202" s="435"/>
      <c r="AQ202" s="435"/>
      <c r="AR202" s="435"/>
      <c r="AS202" s="435"/>
      <c r="AT202" s="435"/>
      <c r="AU202" s="435"/>
      <c r="AV202" s="435"/>
      <c r="AW202" s="435"/>
      <c r="AX202" s="435"/>
      <c r="AY202" s="435"/>
      <c r="AZ202" s="435"/>
      <c r="BA202" s="435"/>
      <c r="BB202" s="435"/>
      <c r="BC202" s="435"/>
      <c r="BD202" s="435"/>
      <c r="BE202" s="435"/>
      <c r="BF202" s="435"/>
      <c r="BG202" s="435"/>
      <c r="BH202" s="435"/>
      <c r="BI202" s="435"/>
      <c r="BJ202" s="435"/>
      <c r="BK202" s="435"/>
      <c r="BL202" s="435"/>
      <c r="BM202" s="435"/>
      <c r="BN202" s="435"/>
      <c r="BO202" s="435"/>
      <c r="BP202" s="435"/>
      <c r="BQ202" s="435"/>
      <c r="BR202" s="435"/>
      <c r="BS202" s="436"/>
      <c r="BT202" s="409"/>
      <c r="BU202" s="409"/>
      <c r="BV202" s="409"/>
      <c r="BW202" s="409"/>
      <c r="BX202" s="409"/>
      <c r="BY202" s="409"/>
      <c r="BZ202" s="409"/>
      <c r="CA202" s="409"/>
      <c r="CB202" s="409"/>
      <c r="CC202" s="409"/>
      <c r="CD202" s="409"/>
      <c r="CE202" s="409"/>
      <c r="CF202" s="409"/>
      <c r="CG202" s="409"/>
      <c r="CH202" s="409"/>
      <c r="CI202" s="409"/>
      <c r="CJ202" s="501">
        <v>10000</v>
      </c>
      <c r="CK202" s="501"/>
      <c r="CL202" s="501"/>
      <c r="CM202" s="501"/>
      <c r="CN202" s="501"/>
      <c r="CO202" s="501"/>
      <c r="CP202" s="501"/>
      <c r="CQ202" s="501"/>
      <c r="CR202" s="501"/>
      <c r="CS202" s="501"/>
      <c r="CT202" s="501"/>
      <c r="CU202" s="501"/>
      <c r="CV202" s="501"/>
      <c r="CW202" s="501"/>
      <c r="CX202" s="501"/>
      <c r="CY202" s="501"/>
      <c r="CZ202" s="501"/>
      <c r="DA202" s="501"/>
    </row>
    <row r="203" spans="1:105" ht="12" customHeight="1">
      <c r="A203" s="407" t="s">
        <v>329</v>
      </c>
      <c r="B203" s="407"/>
      <c r="C203" s="407"/>
      <c r="D203" s="407"/>
      <c r="E203" s="407"/>
      <c r="F203" s="407"/>
      <c r="G203" s="407"/>
      <c r="H203" s="434" t="s">
        <v>550</v>
      </c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  <c r="AB203" s="435"/>
      <c r="AC203" s="435"/>
      <c r="AD203" s="435"/>
      <c r="AE203" s="435"/>
      <c r="AF203" s="435"/>
      <c r="AG203" s="435"/>
      <c r="AH203" s="435"/>
      <c r="AI203" s="435"/>
      <c r="AJ203" s="435"/>
      <c r="AK203" s="435"/>
      <c r="AL203" s="435"/>
      <c r="AM203" s="435"/>
      <c r="AN203" s="435"/>
      <c r="AO203" s="435"/>
      <c r="AP203" s="435"/>
      <c r="AQ203" s="435"/>
      <c r="AR203" s="435"/>
      <c r="AS203" s="435"/>
      <c r="AT203" s="435"/>
      <c r="AU203" s="435"/>
      <c r="AV203" s="435"/>
      <c r="AW203" s="435"/>
      <c r="AX203" s="435"/>
      <c r="AY203" s="435"/>
      <c r="AZ203" s="435"/>
      <c r="BA203" s="435"/>
      <c r="BB203" s="435"/>
      <c r="BC203" s="435"/>
      <c r="BD203" s="435"/>
      <c r="BE203" s="435"/>
      <c r="BF203" s="435"/>
      <c r="BG203" s="435"/>
      <c r="BH203" s="435"/>
      <c r="BI203" s="435"/>
      <c r="BJ203" s="435"/>
      <c r="BK203" s="435"/>
      <c r="BL203" s="435"/>
      <c r="BM203" s="435"/>
      <c r="BN203" s="435"/>
      <c r="BO203" s="435"/>
      <c r="BP203" s="435"/>
      <c r="BQ203" s="435"/>
      <c r="BR203" s="435"/>
      <c r="BS203" s="436"/>
      <c r="BT203" s="409"/>
      <c r="BU203" s="409"/>
      <c r="BV203" s="409"/>
      <c r="BW203" s="409"/>
      <c r="BX203" s="409"/>
      <c r="BY203" s="409"/>
      <c r="BZ203" s="409"/>
      <c r="CA203" s="409"/>
      <c r="CB203" s="409"/>
      <c r="CC203" s="409"/>
      <c r="CD203" s="409"/>
      <c r="CE203" s="409"/>
      <c r="CF203" s="409"/>
      <c r="CG203" s="409"/>
      <c r="CH203" s="409"/>
      <c r="CI203" s="409"/>
      <c r="CJ203" s="501">
        <v>150000</v>
      </c>
      <c r="CK203" s="501"/>
      <c r="CL203" s="501"/>
      <c r="CM203" s="501"/>
      <c r="CN203" s="501"/>
      <c r="CO203" s="501"/>
      <c r="CP203" s="501"/>
      <c r="CQ203" s="501"/>
      <c r="CR203" s="501"/>
      <c r="CS203" s="501"/>
      <c r="CT203" s="501"/>
      <c r="CU203" s="501"/>
      <c r="CV203" s="501"/>
      <c r="CW203" s="501"/>
      <c r="CX203" s="501"/>
      <c r="CY203" s="501"/>
      <c r="CZ203" s="501"/>
      <c r="DA203" s="501"/>
    </row>
    <row r="204" spans="1:105" ht="12" customHeight="1">
      <c r="A204" s="407" t="s">
        <v>330</v>
      </c>
      <c r="B204" s="407"/>
      <c r="C204" s="407"/>
      <c r="D204" s="407"/>
      <c r="E204" s="407"/>
      <c r="F204" s="407"/>
      <c r="G204" s="407"/>
      <c r="H204" s="434" t="s">
        <v>551</v>
      </c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  <c r="AA204" s="435"/>
      <c r="AB204" s="435"/>
      <c r="AC204" s="435"/>
      <c r="AD204" s="435"/>
      <c r="AE204" s="435"/>
      <c r="AF204" s="435"/>
      <c r="AG204" s="435"/>
      <c r="AH204" s="435"/>
      <c r="AI204" s="435"/>
      <c r="AJ204" s="435"/>
      <c r="AK204" s="435"/>
      <c r="AL204" s="435"/>
      <c r="AM204" s="435"/>
      <c r="AN204" s="435"/>
      <c r="AO204" s="435"/>
      <c r="AP204" s="435"/>
      <c r="AQ204" s="435"/>
      <c r="AR204" s="435"/>
      <c r="AS204" s="435"/>
      <c r="AT204" s="435"/>
      <c r="AU204" s="435"/>
      <c r="AV204" s="435"/>
      <c r="AW204" s="435"/>
      <c r="AX204" s="435"/>
      <c r="AY204" s="435"/>
      <c r="AZ204" s="435"/>
      <c r="BA204" s="435"/>
      <c r="BB204" s="435"/>
      <c r="BC204" s="435"/>
      <c r="BD204" s="435"/>
      <c r="BE204" s="435"/>
      <c r="BF204" s="435"/>
      <c r="BG204" s="435"/>
      <c r="BH204" s="435"/>
      <c r="BI204" s="435"/>
      <c r="BJ204" s="435"/>
      <c r="BK204" s="435"/>
      <c r="BL204" s="435"/>
      <c r="BM204" s="435"/>
      <c r="BN204" s="435"/>
      <c r="BO204" s="435"/>
      <c r="BP204" s="435"/>
      <c r="BQ204" s="435"/>
      <c r="BR204" s="435"/>
      <c r="BS204" s="436"/>
      <c r="BT204" s="409"/>
      <c r="BU204" s="409"/>
      <c r="BV204" s="409"/>
      <c r="BW204" s="409"/>
      <c r="BX204" s="409"/>
      <c r="BY204" s="409"/>
      <c r="BZ204" s="409"/>
      <c r="CA204" s="409"/>
      <c r="CB204" s="409"/>
      <c r="CC204" s="409"/>
      <c r="CD204" s="409"/>
      <c r="CE204" s="409"/>
      <c r="CF204" s="409"/>
      <c r="CG204" s="409"/>
      <c r="CH204" s="409"/>
      <c r="CI204" s="409"/>
      <c r="CJ204" s="501">
        <v>50000</v>
      </c>
      <c r="CK204" s="501"/>
      <c r="CL204" s="501"/>
      <c r="CM204" s="501"/>
      <c r="CN204" s="501"/>
      <c r="CO204" s="501"/>
      <c r="CP204" s="501"/>
      <c r="CQ204" s="501"/>
      <c r="CR204" s="501"/>
      <c r="CS204" s="501"/>
      <c r="CT204" s="501"/>
      <c r="CU204" s="501"/>
      <c r="CV204" s="501"/>
      <c r="CW204" s="501"/>
      <c r="CX204" s="501"/>
      <c r="CY204" s="501"/>
      <c r="CZ204" s="501"/>
      <c r="DA204" s="501"/>
    </row>
    <row r="205" spans="1:105" ht="12" customHeight="1">
      <c r="A205" s="407" t="s">
        <v>331</v>
      </c>
      <c r="B205" s="407"/>
      <c r="C205" s="407"/>
      <c r="D205" s="407"/>
      <c r="E205" s="407"/>
      <c r="F205" s="407"/>
      <c r="G205" s="407"/>
      <c r="H205" s="434" t="s">
        <v>552</v>
      </c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  <c r="AB205" s="435"/>
      <c r="AC205" s="435"/>
      <c r="AD205" s="435"/>
      <c r="AE205" s="435"/>
      <c r="AF205" s="435"/>
      <c r="AG205" s="435"/>
      <c r="AH205" s="435"/>
      <c r="AI205" s="435"/>
      <c r="AJ205" s="435"/>
      <c r="AK205" s="435"/>
      <c r="AL205" s="435"/>
      <c r="AM205" s="435"/>
      <c r="AN205" s="435"/>
      <c r="AO205" s="435"/>
      <c r="AP205" s="435"/>
      <c r="AQ205" s="435"/>
      <c r="AR205" s="435"/>
      <c r="AS205" s="435"/>
      <c r="AT205" s="435"/>
      <c r="AU205" s="435"/>
      <c r="AV205" s="435"/>
      <c r="AW205" s="435"/>
      <c r="AX205" s="435"/>
      <c r="AY205" s="435"/>
      <c r="AZ205" s="435"/>
      <c r="BA205" s="435"/>
      <c r="BB205" s="435"/>
      <c r="BC205" s="435"/>
      <c r="BD205" s="435"/>
      <c r="BE205" s="435"/>
      <c r="BF205" s="435"/>
      <c r="BG205" s="435"/>
      <c r="BH205" s="435"/>
      <c r="BI205" s="435"/>
      <c r="BJ205" s="435"/>
      <c r="BK205" s="435"/>
      <c r="BL205" s="435"/>
      <c r="BM205" s="435"/>
      <c r="BN205" s="435"/>
      <c r="BO205" s="435"/>
      <c r="BP205" s="435"/>
      <c r="BQ205" s="435"/>
      <c r="BR205" s="435"/>
      <c r="BS205" s="436"/>
      <c r="BT205" s="409"/>
      <c r="BU205" s="409"/>
      <c r="BV205" s="409"/>
      <c r="BW205" s="409"/>
      <c r="BX205" s="409"/>
      <c r="BY205" s="409"/>
      <c r="BZ205" s="409"/>
      <c r="CA205" s="409"/>
      <c r="CB205" s="409"/>
      <c r="CC205" s="409"/>
      <c r="CD205" s="409"/>
      <c r="CE205" s="409"/>
      <c r="CF205" s="409"/>
      <c r="CG205" s="409"/>
      <c r="CH205" s="409"/>
      <c r="CI205" s="409"/>
      <c r="CJ205" s="501">
        <v>350000</v>
      </c>
      <c r="CK205" s="501"/>
      <c r="CL205" s="501"/>
      <c r="CM205" s="501"/>
      <c r="CN205" s="501"/>
      <c r="CO205" s="501"/>
      <c r="CP205" s="501"/>
      <c r="CQ205" s="501"/>
      <c r="CR205" s="501"/>
      <c r="CS205" s="501"/>
      <c r="CT205" s="501"/>
      <c r="CU205" s="501"/>
      <c r="CV205" s="501"/>
      <c r="CW205" s="501"/>
      <c r="CX205" s="501"/>
      <c r="CY205" s="501"/>
      <c r="CZ205" s="501"/>
      <c r="DA205" s="501"/>
    </row>
    <row r="206" spans="1:105" ht="12" customHeight="1">
      <c r="A206" s="407" t="s">
        <v>332</v>
      </c>
      <c r="B206" s="407"/>
      <c r="C206" s="407"/>
      <c r="D206" s="407"/>
      <c r="E206" s="407"/>
      <c r="F206" s="407"/>
      <c r="G206" s="407"/>
      <c r="H206" s="434" t="s">
        <v>553</v>
      </c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  <c r="AB206" s="435"/>
      <c r="AC206" s="435"/>
      <c r="AD206" s="435"/>
      <c r="AE206" s="435"/>
      <c r="AF206" s="435"/>
      <c r="AG206" s="435"/>
      <c r="AH206" s="435"/>
      <c r="AI206" s="435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435"/>
      <c r="AV206" s="435"/>
      <c r="AW206" s="435"/>
      <c r="AX206" s="435"/>
      <c r="AY206" s="435"/>
      <c r="AZ206" s="435"/>
      <c r="BA206" s="435"/>
      <c r="BB206" s="435"/>
      <c r="BC206" s="435"/>
      <c r="BD206" s="435"/>
      <c r="BE206" s="435"/>
      <c r="BF206" s="435"/>
      <c r="BG206" s="435"/>
      <c r="BH206" s="435"/>
      <c r="BI206" s="435"/>
      <c r="BJ206" s="435"/>
      <c r="BK206" s="435"/>
      <c r="BL206" s="435"/>
      <c r="BM206" s="435"/>
      <c r="BN206" s="435"/>
      <c r="BO206" s="435"/>
      <c r="BP206" s="435"/>
      <c r="BQ206" s="435"/>
      <c r="BR206" s="435"/>
      <c r="BS206" s="436"/>
      <c r="BT206" s="409"/>
      <c r="BU206" s="409"/>
      <c r="BV206" s="409"/>
      <c r="BW206" s="409"/>
      <c r="BX206" s="409"/>
      <c r="BY206" s="409"/>
      <c r="BZ206" s="409"/>
      <c r="CA206" s="409"/>
      <c r="CB206" s="409"/>
      <c r="CC206" s="409"/>
      <c r="CD206" s="409"/>
      <c r="CE206" s="409"/>
      <c r="CF206" s="409"/>
      <c r="CG206" s="409"/>
      <c r="CH206" s="409"/>
      <c r="CI206" s="409"/>
      <c r="CJ206" s="501">
        <v>200000</v>
      </c>
      <c r="CK206" s="501"/>
      <c r="CL206" s="501"/>
      <c r="CM206" s="501"/>
      <c r="CN206" s="501"/>
      <c r="CO206" s="501"/>
      <c r="CP206" s="501"/>
      <c r="CQ206" s="501"/>
      <c r="CR206" s="501"/>
      <c r="CS206" s="501"/>
      <c r="CT206" s="501"/>
      <c r="CU206" s="501"/>
      <c r="CV206" s="501"/>
      <c r="CW206" s="501"/>
      <c r="CX206" s="501"/>
      <c r="CY206" s="501"/>
      <c r="CZ206" s="501"/>
      <c r="DA206" s="501"/>
    </row>
    <row r="207" spans="1:105" ht="12" customHeight="1">
      <c r="A207" s="407" t="s">
        <v>104</v>
      </c>
      <c r="B207" s="407"/>
      <c r="C207" s="407"/>
      <c r="D207" s="407"/>
      <c r="E207" s="407"/>
      <c r="F207" s="407"/>
      <c r="G207" s="407"/>
      <c r="H207" s="434" t="s">
        <v>554</v>
      </c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  <c r="AA207" s="435"/>
      <c r="AB207" s="435"/>
      <c r="AC207" s="435"/>
      <c r="AD207" s="435"/>
      <c r="AE207" s="435"/>
      <c r="AF207" s="435"/>
      <c r="AG207" s="435"/>
      <c r="AH207" s="435"/>
      <c r="AI207" s="435"/>
      <c r="AJ207" s="435"/>
      <c r="AK207" s="435"/>
      <c r="AL207" s="435"/>
      <c r="AM207" s="435"/>
      <c r="AN207" s="435"/>
      <c r="AO207" s="435"/>
      <c r="AP207" s="435"/>
      <c r="AQ207" s="435"/>
      <c r="AR207" s="435"/>
      <c r="AS207" s="435"/>
      <c r="AT207" s="435"/>
      <c r="AU207" s="435"/>
      <c r="AV207" s="435"/>
      <c r="AW207" s="435"/>
      <c r="AX207" s="435"/>
      <c r="AY207" s="435"/>
      <c r="AZ207" s="435"/>
      <c r="BA207" s="435"/>
      <c r="BB207" s="435"/>
      <c r="BC207" s="435"/>
      <c r="BD207" s="435"/>
      <c r="BE207" s="435"/>
      <c r="BF207" s="435"/>
      <c r="BG207" s="435"/>
      <c r="BH207" s="435"/>
      <c r="BI207" s="435"/>
      <c r="BJ207" s="435"/>
      <c r="BK207" s="435"/>
      <c r="BL207" s="435"/>
      <c r="BM207" s="435"/>
      <c r="BN207" s="435"/>
      <c r="BO207" s="435"/>
      <c r="BP207" s="435"/>
      <c r="BQ207" s="435"/>
      <c r="BR207" s="435"/>
      <c r="BS207" s="436"/>
      <c r="BT207" s="409"/>
      <c r="BU207" s="409"/>
      <c r="BV207" s="409"/>
      <c r="BW207" s="409"/>
      <c r="BX207" s="409"/>
      <c r="BY207" s="409"/>
      <c r="BZ207" s="409"/>
      <c r="CA207" s="409"/>
      <c r="CB207" s="409"/>
      <c r="CC207" s="409"/>
      <c r="CD207" s="409"/>
      <c r="CE207" s="409"/>
      <c r="CF207" s="409"/>
      <c r="CG207" s="409"/>
      <c r="CH207" s="409"/>
      <c r="CI207" s="409"/>
      <c r="CJ207" s="501">
        <v>30000</v>
      </c>
      <c r="CK207" s="501"/>
      <c r="CL207" s="501"/>
      <c r="CM207" s="501"/>
      <c r="CN207" s="501"/>
      <c r="CO207" s="501"/>
      <c r="CP207" s="501"/>
      <c r="CQ207" s="501"/>
      <c r="CR207" s="501"/>
      <c r="CS207" s="501"/>
      <c r="CT207" s="501"/>
      <c r="CU207" s="501"/>
      <c r="CV207" s="501"/>
      <c r="CW207" s="501"/>
      <c r="CX207" s="501"/>
      <c r="CY207" s="501"/>
      <c r="CZ207" s="501"/>
      <c r="DA207" s="501"/>
    </row>
    <row r="208" spans="1:105" ht="12" customHeight="1">
      <c r="A208" s="407" t="s">
        <v>105</v>
      </c>
      <c r="B208" s="407"/>
      <c r="C208" s="407"/>
      <c r="D208" s="407"/>
      <c r="E208" s="407"/>
      <c r="F208" s="407"/>
      <c r="G208" s="407"/>
      <c r="H208" s="434" t="s">
        <v>441</v>
      </c>
      <c r="I208" s="435"/>
      <c r="J208" s="435"/>
      <c r="K208" s="435"/>
      <c r="L208" s="435"/>
      <c r="M208" s="435"/>
      <c r="N208" s="435"/>
      <c r="O208" s="435"/>
      <c r="P208" s="435"/>
      <c r="Q208" s="435"/>
      <c r="R208" s="435"/>
      <c r="S208" s="435"/>
      <c r="T208" s="435"/>
      <c r="U208" s="435"/>
      <c r="V208" s="435"/>
      <c r="W208" s="435"/>
      <c r="X208" s="435"/>
      <c r="Y208" s="435"/>
      <c r="Z208" s="435"/>
      <c r="AA208" s="435"/>
      <c r="AB208" s="435"/>
      <c r="AC208" s="435"/>
      <c r="AD208" s="435"/>
      <c r="AE208" s="435"/>
      <c r="AF208" s="435"/>
      <c r="AG208" s="435"/>
      <c r="AH208" s="435"/>
      <c r="AI208" s="435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435"/>
      <c r="AV208" s="435"/>
      <c r="AW208" s="435"/>
      <c r="AX208" s="435"/>
      <c r="AY208" s="435"/>
      <c r="AZ208" s="435"/>
      <c r="BA208" s="435"/>
      <c r="BB208" s="435"/>
      <c r="BC208" s="435"/>
      <c r="BD208" s="435"/>
      <c r="BE208" s="435"/>
      <c r="BF208" s="435"/>
      <c r="BG208" s="435"/>
      <c r="BH208" s="435"/>
      <c r="BI208" s="435"/>
      <c r="BJ208" s="435"/>
      <c r="BK208" s="435"/>
      <c r="BL208" s="435"/>
      <c r="BM208" s="435"/>
      <c r="BN208" s="435"/>
      <c r="BO208" s="435"/>
      <c r="BP208" s="435"/>
      <c r="BQ208" s="435"/>
      <c r="BR208" s="435"/>
      <c r="BS208" s="436"/>
      <c r="BT208" s="409"/>
      <c r="BU208" s="409"/>
      <c r="BV208" s="409"/>
      <c r="BW208" s="409"/>
      <c r="BX208" s="409"/>
      <c r="BY208" s="409"/>
      <c r="BZ208" s="409"/>
      <c r="CA208" s="409"/>
      <c r="CB208" s="409"/>
      <c r="CC208" s="409"/>
      <c r="CD208" s="409"/>
      <c r="CE208" s="409"/>
      <c r="CF208" s="409"/>
      <c r="CG208" s="409"/>
      <c r="CH208" s="409"/>
      <c r="CI208" s="409"/>
      <c r="CJ208" s="501">
        <v>50000</v>
      </c>
      <c r="CK208" s="501"/>
      <c r="CL208" s="501"/>
      <c r="CM208" s="501"/>
      <c r="CN208" s="501"/>
      <c r="CO208" s="501"/>
      <c r="CP208" s="501"/>
      <c r="CQ208" s="501"/>
      <c r="CR208" s="501"/>
      <c r="CS208" s="501"/>
      <c r="CT208" s="501"/>
      <c r="CU208" s="501"/>
      <c r="CV208" s="501"/>
      <c r="CW208" s="501"/>
      <c r="CX208" s="501"/>
      <c r="CY208" s="501"/>
      <c r="CZ208" s="501"/>
      <c r="DA208" s="501"/>
    </row>
    <row r="209" spans="1:105" ht="12" customHeight="1">
      <c r="A209" s="407" t="s">
        <v>129</v>
      </c>
      <c r="B209" s="407"/>
      <c r="C209" s="407"/>
      <c r="D209" s="407"/>
      <c r="E209" s="407"/>
      <c r="F209" s="407"/>
      <c r="G209" s="407"/>
      <c r="H209" s="434" t="s">
        <v>445</v>
      </c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5"/>
      <c r="U209" s="435"/>
      <c r="V209" s="435"/>
      <c r="W209" s="435"/>
      <c r="X209" s="435"/>
      <c r="Y209" s="435"/>
      <c r="Z209" s="435"/>
      <c r="AA209" s="435"/>
      <c r="AB209" s="435"/>
      <c r="AC209" s="435"/>
      <c r="AD209" s="435"/>
      <c r="AE209" s="435"/>
      <c r="AF209" s="435"/>
      <c r="AG209" s="435"/>
      <c r="AH209" s="435"/>
      <c r="AI209" s="435"/>
      <c r="AJ209" s="435"/>
      <c r="AK209" s="435"/>
      <c r="AL209" s="435"/>
      <c r="AM209" s="435"/>
      <c r="AN209" s="435"/>
      <c r="AO209" s="435"/>
      <c r="AP209" s="435"/>
      <c r="AQ209" s="435"/>
      <c r="AR209" s="435"/>
      <c r="AS209" s="435"/>
      <c r="AT209" s="435"/>
      <c r="AU209" s="435"/>
      <c r="AV209" s="435"/>
      <c r="AW209" s="435"/>
      <c r="AX209" s="435"/>
      <c r="AY209" s="435"/>
      <c r="AZ209" s="435"/>
      <c r="BA209" s="435"/>
      <c r="BB209" s="435"/>
      <c r="BC209" s="435"/>
      <c r="BD209" s="435"/>
      <c r="BE209" s="435"/>
      <c r="BF209" s="435"/>
      <c r="BG209" s="435"/>
      <c r="BH209" s="435"/>
      <c r="BI209" s="435"/>
      <c r="BJ209" s="435"/>
      <c r="BK209" s="435"/>
      <c r="BL209" s="435"/>
      <c r="BM209" s="435"/>
      <c r="BN209" s="435"/>
      <c r="BO209" s="435"/>
      <c r="BP209" s="435"/>
      <c r="BQ209" s="435"/>
      <c r="BR209" s="435"/>
      <c r="BS209" s="436"/>
      <c r="BT209" s="409"/>
      <c r="BU209" s="409"/>
      <c r="BV209" s="409"/>
      <c r="BW209" s="409"/>
      <c r="BX209" s="409"/>
      <c r="BY209" s="409"/>
      <c r="BZ209" s="409"/>
      <c r="CA209" s="409"/>
      <c r="CB209" s="409"/>
      <c r="CC209" s="409"/>
      <c r="CD209" s="409"/>
      <c r="CE209" s="409"/>
      <c r="CF209" s="409"/>
      <c r="CG209" s="409"/>
      <c r="CH209" s="409"/>
      <c r="CI209" s="409"/>
      <c r="CJ209" s="501">
        <v>500000</v>
      </c>
      <c r="CK209" s="501"/>
      <c r="CL209" s="501"/>
      <c r="CM209" s="501"/>
      <c r="CN209" s="501"/>
      <c r="CO209" s="501"/>
      <c r="CP209" s="501"/>
      <c r="CQ209" s="501"/>
      <c r="CR209" s="501"/>
      <c r="CS209" s="501"/>
      <c r="CT209" s="501"/>
      <c r="CU209" s="501"/>
      <c r="CV209" s="501"/>
      <c r="CW209" s="501"/>
      <c r="CX209" s="501"/>
      <c r="CY209" s="501"/>
      <c r="CZ209" s="501"/>
      <c r="DA209" s="501"/>
    </row>
    <row r="210" spans="1:105" ht="12" customHeight="1">
      <c r="A210" s="407" t="s">
        <v>440</v>
      </c>
      <c r="B210" s="407"/>
      <c r="C210" s="407"/>
      <c r="D210" s="407"/>
      <c r="E210" s="407"/>
      <c r="F210" s="407"/>
      <c r="G210" s="407"/>
      <c r="H210" s="434" t="s">
        <v>449</v>
      </c>
      <c r="I210" s="43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435"/>
      <c r="AV210" s="435"/>
      <c r="AW210" s="435"/>
      <c r="AX210" s="435"/>
      <c r="AY210" s="435"/>
      <c r="AZ210" s="435"/>
      <c r="BA210" s="435"/>
      <c r="BB210" s="435"/>
      <c r="BC210" s="435"/>
      <c r="BD210" s="435"/>
      <c r="BE210" s="435"/>
      <c r="BF210" s="435"/>
      <c r="BG210" s="435"/>
      <c r="BH210" s="435"/>
      <c r="BI210" s="435"/>
      <c r="BJ210" s="435"/>
      <c r="BK210" s="435"/>
      <c r="BL210" s="435"/>
      <c r="BM210" s="435"/>
      <c r="BN210" s="435"/>
      <c r="BO210" s="435"/>
      <c r="BP210" s="435"/>
      <c r="BQ210" s="435"/>
      <c r="BR210" s="435"/>
      <c r="BS210" s="436"/>
      <c r="BT210" s="409"/>
      <c r="BU210" s="409"/>
      <c r="BV210" s="409"/>
      <c r="BW210" s="409"/>
      <c r="BX210" s="409"/>
      <c r="BY210" s="409"/>
      <c r="BZ210" s="409"/>
      <c r="CA210" s="409"/>
      <c r="CB210" s="409"/>
      <c r="CC210" s="409"/>
      <c r="CD210" s="409"/>
      <c r="CE210" s="409"/>
      <c r="CF210" s="409"/>
      <c r="CG210" s="409"/>
      <c r="CH210" s="409"/>
      <c r="CI210" s="409"/>
      <c r="CJ210" s="501">
        <v>100000</v>
      </c>
      <c r="CK210" s="501"/>
      <c r="CL210" s="501"/>
      <c r="CM210" s="501"/>
      <c r="CN210" s="501"/>
      <c r="CO210" s="501"/>
      <c r="CP210" s="501"/>
      <c r="CQ210" s="501"/>
      <c r="CR210" s="501"/>
      <c r="CS210" s="501"/>
      <c r="CT210" s="501"/>
      <c r="CU210" s="501"/>
      <c r="CV210" s="501"/>
      <c r="CW210" s="501"/>
      <c r="CX210" s="501"/>
      <c r="CY210" s="501"/>
      <c r="CZ210" s="501"/>
      <c r="DA210" s="501"/>
    </row>
    <row r="211" spans="1:105" ht="12" customHeight="1">
      <c r="A211" s="407" t="s">
        <v>442</v>
      </c>
      <c r="B211" s="407"/>
      <c r="C211" s="407"/>
      <c r="D211" s="407"/>
      <c r="E211" s="407"/>
      <c r="F211" s="407"/>
      <c r="G211" s="407"/>
      <c r="H211" s="434" t="s">
        <v>555</v>
      </c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5"/>
      <c r="BD211" s="435"/>
      <c r="BE211" s="435"/>
      <c r="BF211" s="435"/>
      <c r="BG211" s="435"/>
      <c r="BH211" s="435"/>
      <c r="BI211" s="435"/>
      <c r="BJ211" s="435"/>
      <c r="BK211" s="435"/>
      <c r="BL211" s="435"/>
      <c r="BM211" s="435"/>
      <c r="BN211" s="435"/>
      <c r="BO211" s="435"/>
      <c r="BP211" s="435"/>
      <c r="BQ211" s="435"/>
      <c r="BR211" s="435"/>
      <c r="BS211" s="436"/>
      <c r="BT211" s="409"/>
      <c r="BU211" s="409"/>
      <c r="BV211" s="409"/>
      <c r="BW211" s="409"/>
      <c r="BX211" s="409"/>
      <c r="BY211" s="409"/>
      <c r="BZ211" s="409"/>
      <c r="CA211" s="409"/>
      <c r="CB211" s="409"/>
      <c r="CC211" s="409"/>
      <c r="CD211" s="409"/>
      <c r="CE211" s="409"/>
      <c r="CF211" s="409"/>
      <c r="CG211" s="409"/>
      <c r="CH211" s="409"/>
      <c r="CI211" s="409"/>
      <c r="CJ211" s="501">
        <v>1000000</v>
      </c>
      <c r="CK211" s="501"/>
      <c r="CL211" s="501"/>
      <c r="CM211" s="501"/>
      <c r="CN211" s="501"/>
      <c r="CO211" s="501"/>
      <c r="CP211" s="501"/>
      <c r="CQ211" s="501"/>
      <c r="CR211" s="501"/>
      <c r="CS211" s="501"/>
      <c r="CT211" s="501"/>
      <c r="CU211" s="501"/>
      <c r="CV211" s="501"/>
      <c r="CW211" s="501"/>
      <c r="CX211" s="501"/>
      <c r="CY211" s="501"/>
      <c r="CZ211" s="501"/>
      <c r="DA211" s="501"/>
    </row>
    <row r="212" spans="1:105" ht="12" customHeight="1">
      <c r="A212" s="407" t="s">
        <v>444</v>
      </c>
      <c r="B212" s="407"/>
      <c r="C212" s="407"/>
      <c r="D212" s="407"/>
      <c r="E212" s="407"/>
      <c r="F212" s="407"/>
      <c r="G212" s="407"/>
      <c r="H212" s="434" t="s">
        <v>455</v>
      </c>
      <c r="I212" s="435"/>
      <c r="J212" s="435"/>
      <c r="K212" s="435"/>
      <c r="L212" s="435"/>
      <c r="M212" s="435"/>
      <c r="N212" s="435"/>
      <c r="O212" s="435"/>
      <c r="P212" s="435"/>
      <c r="Q212" s="435"/>
      <c r="R212" s="435"/>
      <c r="S212" s="435"/>
      <c r="T212" s="435"/>
      <c r="U212" s="435"/>
      <c r="V212" s="435"/>
      <c r="W212" s="435"/>
      <c r="X212" s="435"/>
      <c r="Y212" s="435"/>
      <c r="Z212" s="435"/>
      <c r="AA212" s="435"/>
      <c r="AB212" s="435"/>
      <c r="AC212" s="435"/>
      <c r="AD212" s="435"/>
      <c r="AE212" s="435"/>
      <c r="AF212" s="435"/>
      <c r="AG212" s="435"/>
      <c r="AH212" s="435"/>
      <c r="AI212" s="435"/>
      <c r="AJ212" s="435"/>
      <c r="AK212" s="435"/>
      <c r="AL212" s="435"/>
      <c r="AM212" s="435"/>
      <c r="AN212" s="435"/>
      <c r="AO212" s="435"/>
      <c r="AP212" s="435"/>
      <c r="AQ212" s="435"/>
      <c r="AR212" s="435"/>
      <c r="AS212" s="435"/>
      <c r="AT212" s="435"/>
      <c r="AU212" s="435"/>
      <c r="AV212" s="435"/>
      <c r="AW212" s="435"/>
      <c r="AX212" s="435"/>
      <c r="AY212" s="435"/>
      <c r="AZ212" s="435"/>
      <c r="BA212" s="435"/>
      <c r="BB212" s="435"/>
      <c r="BC212" s="435"/>
      <c r="BD212" s="435"/>
      <c r="BE212" s="435"/>
      <c r="BF212" s="435"/>
      <c r="BG212" s="435"/>
      <c r="BH212" s="435"/>
      <c r="BI212" s="435"/>
      <c r="BJ212" s="435"/>
      <c r="BK212" s="435"/>
      <c r="BL212" s="435"/>
      <c r="BM212" s="435"/>
      <c r="BN212" s="435"/>
      <c r="BO212" s="435"/>
      <c r="BP212" s="435"/>
      <c r="BQ212" s="435"/>
      <c r="BR212" s="435"/>
      <c r="BS212" s="436"/>
      <c r="BT212" s="409"/>
      <c r="BU212" s="409"/>
      <c r="BV212" s="409"/>
      <c r="BW212" s="409"/>
      <c r="BX212" s="409"/>
      <c r="BY212" s="409"/>
      <c r="BZ212" s="409"/>
      <c r="CA212" s="409"/>
      <c r="CB212" s="409"/>
      <c r="CC212" s="409"/>
      <c r="CD212" s="409"/>
      <c r="CE212" s="409"/>
      <c r="CF212" s="409"/>
      <c r="CG212" s="409"/>
      <c r="CH212" s="409"/>
      <c r="CI212" s="409"/>
      <c r="CJ212" s="501">
        <v>50000</v>
      </c>
      <c r="CK212" s="501"/>
      <c r="CL212" s="501"/>
      <c r="CM212" s="501"/>
      <c r="CN212" s="501"/>
      <c r="CO212" s="501"/>
      <c r="CP212" s="501"/>
      <c r="CQ212" s="501"/>
      <c r="CR212" s="501"/>
      <c r="CS212" s="501"/>
      <c r="CT212" s="501"/>
      <c r="CU212" s="501"/>
      <c r="CV212" s="501"/>
      <c r="CW212" s="501"/>
      <c r="CX212" s="501"/>
      <c r="CY212" s="501"/>
      <c r="CZ212" s="501"/>
      <c r="DA212" s="501"/>
    </row>
    <row r="213" spans="1:105" ht="12" customHeight="1">
      <c r="A213" s="407"/>
      <c r="B213" s="407"/>
      <c r="C213" s="407"/>
      <c r="D213" s="407"/>
      <c r="E213" s="407"/>
      <c r="F213" s="407"/>
      <c r="G213" s="407"/>
      <c r="H213" s="620" t="s">
        <v>233</v>
      </c>
      <c r="I213" s="621"/>
      <c r="J213" s="621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1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1"/>
      <c r="AH213" s="621"/>
      <c r="AI213" s="621"/>
      <c r="AJ213" s="621"/>
      <c r="AK213" s="621"/>
      <c r="AL213" s="621"/>
      <c r="AM213" s="621"/>
      <c r="AN213" s="621"/>
      <c r="AO213" s="621"/>
      <c r="AP213" s="621"/>
      <c r="AQ213" s="621"/>
      <c r="AR213" s="621"/>
      <c r="AS213" s="621"/>
      <c r="AT213" s="621"/>
      <c r="AU213" s="621"/>
      <c r="AV213" s="621"/>
      <c r="AW213" s="621"/>
      <c r="AX213" s="621"/>
      <c r="AY213" s="621"/>
      <c r="AZ213" s="621"/>
      <c r="BA213" s="621"/>
      <c r="BB213" s="621"/>
      <c r="BC213" s="621"/>
      <c r="BD213" s="621"/>
      <c r="BE213" s="621"/>
      <c r="BF213" s="621"/>
      <c r="BG213" s="621"/>
      <c r="BH213" s="621"/>
      <c r="BI213" s="621"/>
      <c r="BJ213" s="621"/>
      <c r="BK213" s="621"/>
      <c r="BL213" s="621"/>
      <c r="BM213" s="621"/>
      <c r="BN213" s="621"/>
      <c r="BO213" s="621"/>
      <c r="BP213" s="621"/>
      <c r="BQ213" s="621"/>
      <c r="BR213" s="621"/>
      <c r="BS213" s="622"/>
      <c r="BT213" s="409" t="s">
        <v>234</v>
      </c>
      <c r="BU213" s="409"/>
      <c r="BV213" s="409"/>
      <c r="BW213" s="409"/>
      <c r="BX213" s="409"/>
      <c r="BY213" s="409"/>
      <c r="BZ213" s="409"/>
      <c r="CA213" s="409"/>
      <c r="CB213" s="409"/>
      <c r="CC213" s="409"/>
      <c r="CD213" s="409"/>
      <c r="CE213" s="409"/>
      <c r="CF213" s="409"/>
      <c r="CG213" s="409"/>
      <c r="CH213" s="409"/>
      <c r="CI213" s="409"/>
      <c r="CJ213" s="490">
        <f>SUM(CJ190:CJ212)</f>
        <v>17360000</v>
      </c>
      <c r="CK213" s="413"/>
      <c r="CL213" s="413"/>
      <c r="CM213" s="413"/>
      <c r="CN213" s="413"/>
      <c r="CO213" s="413"/>
      <c r="CP213" s="413"/>
      <c r="CQ213" s="413"/>
      <c r="CR213" s="413"/>
      <c r="CS213" s="413"/>
      <c r="CT213" s="413"/>
      <c r="CU213" s="413"/>
      <c r="CV213" s="413"/>
      <c r="CW213" s="413"/>
      <c r="CX213" s="413"/>
      <c r="CY213" s="413"/>
      <c r="CZ213" s="413"/>
      <c r="DA213" s="413"/>
    </row>
    <row r="214" ht="12" customHeight="1"/>
    <row r="215" spans="1:105" ht="12" customHeight="1">
      <c r="A215" s="103"/>
      <c r="B215" s="103"/>
      <c r="C215" s="103"/>
      <c r="D215" s="103"/>
      <c r="E215" s="103"/>
      <c r="F215" s="103"/>
      <c r="G215" s="103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4"/>
      <c r="BB215" s="104"/>
      <c r="BC215" s="104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6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</row>
    <row r="216" spans="1:105" ht="12" customHeight="1">
      <c r="A216" s="103"/>
      <c r="B216" s="103"/>
      <c r="C216" s="103"/>
      <c r="D216" s="103"/>
      <c r="E216" s="103"/>
      <c r="F216" s="103"/>
      <c r="G216" s="103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4"/>
      <c r="BB216" s="104"/>
      <c r="BC216" s="104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6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</row>
    <row r="217" spans="1:105" ht="12" customHeight="1">
      <c r="A217" s="624" t="s">
        <v>556</v>
      </c>
      <c r="B217" s="624"/>
      <c r="C217" s="624"/>
      <c r="D217" s="624"/>
      <c r="E217" s="624"/>
      <c r="F217" s="624"/>
      <c r="G217" s="624"/>
      <c r="H217" s="624"/>
      <c r="I217" s="624"/>
      <c r="J217" s="624"/>
      <c r="K217" s="624"/>
      <c r="L217" s="624"/>
      <c r="M217" s="624"/>
      <c r="N217" s="624"/>
      <c r="O217" s="624"/>
      <c r="P217" s="624"/>
      <c r="Q217" s="624"/>
      <c r="R217" s="624"/>
      <c r="S217" s="624"/>
      <c r="T217" s="624"/>
      <c r="U217" s="624"/>
      <c r="V217" s="624"/>
      <c r="W217" s="624"/>
      <c r="X217" s="624"/>
      <c r="Y217" s="624"/>
      <c r="Z217" s="624"/>
      <c r="AA217" s="624"/>
      <c r="AB217" s="624"/>
      <c r="AC217" s="624"/>
      <c r="AD217" s="624"/>
      <c r="AE217" s="624"/>
      <c r="AF217" s="624"/>
      <c r="AG217" s="624"/>
      <c r="AH217" s="624"/>
      <c r="AI217" s="624"/>
      <c r="AJ217" s="624"/>
      <c r="AK217" s="624"/>
      <c r="AL217" s="624"/>
      <c r="AM217" s="624"/>
      <c r="AN217" s="624"/>
      <c r="AO217" s="624"/>
      <c r="AP217" s="624"/>
      <c r="AQ217" s="624"/>
      <c r="AR217" s="624"/>
      <c r="AS217" s="624"/>
      <c r="AT217" s="624"/>
      <c r="AU217" s="624"/>
      <c r="AV217" s="624"/>
      <c r="AW217" s="624"/>
      <c r="AX217" s="624"/>
      <c r="AY217" s="624"/>
      <c r="AZ217" s="624"/>
      <c r="BA217" s="624"/>
      <c r="BB217" s="624"/>
      <c r="BC217" s="624"/>
      <c r="BD217" s="624"/>
      <c r="BE217" s="624"/>
      <c r="BF217" s="624"/>
      <c r="BG217" s="624"/>
      <c r="BH217" s="624"/>
      <c r="BI217" s="624"/>
      <c r="BJ217" s="624"/>
      <c r="BK217" s="624"/>
      <c r="BL217" s="624"/>
      <c r="BM217" s="624"/>
      <c r="BN217" s="624"/>
      <c r="BO217" s="624"/>
      <c r="BP217" s="624"/>
      <c r="BQ217" s="624"/>
      <c r="BR217" s="624"/>
      <c r="BS217" s="624"/>
      <c r="BT217" s="624"/>
      <c r="BU217" s="624"/>
      <c r="BV217" s="624"/>
      <c r="BW217" s="624"/>
      <c r="BX217" s="624"/>
      <c r="BY217" s="624"/>
      <c r="BZ217" s="624"/>
      <c r="CA217" s="624"/>
      <c r="CB217" s="624"/>
      <c r="CC217" s="624"/>
      <c r="CD217" s="624"/>
      <c r="CE217" s="624"/>
      <c r="CF217" s="624"/>
      <c r="CG217" s="624"/>
      <c r="CH217" s="624"/>
      <c r="CI217" s="624"/>
      <c r="CJ217" s="624"/>
      <c r="CK217" s="624"/>
      <c r="CL217" s="624"/>
      <c r="CM217" s="624"/>
      <c r="CN217" s="624"/>
      <c r="CO217" s="624"/>
      <c r="CP217" s="624"/>
      <c r="CQ217" s="624"/>
      <c r="CR217" s="624"/>
      <c r="CS217" s="624"/>
      <c r="CT217" s="624"/>
      <c r="CU217" s="624"/>
      <c r="CV217" s="624"/>
      <c r="CW217" s="624"/>
      <c r="CX217" s="624"/>
      <c r="CY217" s="624"/>
      <c r="CZ217" s="624"/>
      <c r="DA217" s="624"/>
    </row>
    <row r="218" spans="1:105" ht="12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</row>
    <row r="219" spans="1:105" ht="12" customHeight="1">
      <c r="A219" s="625" t="s">
        <v>192</v>
      </c>
      <c r="B219" s="626"/>
      <c r="C219" s="626"/>
      <c r="D219" s="626"/>
      <c r="E219" s="626"/>
      <c r="F219" s="626"/>
      <c r="G219" s="627"/>
      <c r="H219" s="628" t="s">
        <v>273</v>
      </c>
      <c r="I219" s="629"/>
      <c r="J219" s="629"/>
      <c r="K219" s="629"/>
      <c r="L219" s="629"/>
      <c r="M219" s="629"/>
      <c r="N219" s="629"/>
      <c r="O219" s="629"/>
      <c r="P219" s="629"/>
      <c r="Q219" s="629"/>
      <c r="R219" s="629"/>
      <c r="S219" s="629"/>
      <c r="T219" s="629"/>
      <c r="U219" s="629"/>
      <c r="V219" s="629"/>
      <c r="W219" s="629"/>
      <c r="X219" s="629"/>
      <c r="Y219" s="629"/>
      <c r="Z219" s="629"/>
      <c r="AA219" s="629"/>
      <c r="AB219" s="629"/>
      <c r="AC219" s="629"/>
      <c r="AD219" s="629"/>
      <c r="AE219" s="629"/>
      <c r="AF219" s="629"/>
      <c r="AG219" s="629"/>
      <c r="AH219" s="629"/>
      <c r="AI219" s="629"/>
      <c r="AJ219" s="629"/>
      <c r="AK219" s="629"/>
      <c r="AL219" s="629"/>
      <c r="AM219" s="629"/>
      <c r="AN219" s="629"/>
      <c r="AO219" s="629"/>
      <c r="AP219" s="629"/>
      <c r="AQ219" s="629"/>
      <c r="AR219" s="629"/>
      <c r="AS219" s="629"/>
      <c r="AT219" s="629"/>
      <c r="AU219" s="629"/>
      <c r="AV219" s="629"/>
      <c r="AW219" s="629"/>
      <c r="AX219" s="629"/>
      <c r="AY219" s="629"/>
      <c r="AZ219" s="629"/>
      <c r="BA219" s="629"/>
      <c r="BB219" s="629"/>
      <c r="BC219" s="630"/>
      <c r="BD219" s="625" t="s">
        <v>295</v>
      </c>
      <c r="BE219" s="626"/>
      <c r="BF219" s="626"/>
      <c r="BG219" s="626"/>
      <c r="BH219" s="626"/>
      <c r="BI219" s="626"/>
      <c r="BJ219" s="626"/>
      <c r="BK219" s="626"/>
      <c r="BL219" s="626"/>
      <c r="BM219" s="626"/>
      <c r="BN219" s="626"/>
      <c r="BO219" s="626"/>
      <c r="BP219" s="626"/>
      <c r="BQ219" s="626"/>
      <c r="BR219" s="626"/>
      <c r="BS219" s="627"/>
      <c r="BT219" s="625" t="s">
        <v>306</v>
      </c>
      <c r="BU219" s="626"/>
      <c r="BV219" s="626"/>
      <c r="BW219" s="626"/>
      <c r="BX219" s="626"/>
      <c r="BY219" s="626"/>
      <c r="BZ219" s="626"/>
      <c r="CA219" s="626"/>
      <c r="CB219" s="626"/>
      <c r="CC219" s="626"/>
      <c r="CD219" s="626"/>
      <c r="CE219" s="626"/>
      <c r="CF219" s="626"/>
      <c r="CG219" s="626"/>
      <c r="CH219" s="626"/>
      <c r="CI219" s="627"/>
      <c r="CJ219" s="625" t="s">
        <v>307</v>
      </c>
      <c r="CK219" s="626"/>
      <c r="CL219" s="626"/>
      <c r="CM219" s="626"/>
      <c r="CN219" s="626"/>
      <c r="CO219" s="626"/>
      <c r="CP219" s="626"/>
      <c r="CQ219" s="626"/>
      <c r="CR219" s="626"/>
      <c r="CS219" s="626"/>
      <c r="CT219" s="626"/>
      <c r="CU219" s="626"/>
      <c r="CV219" s="626"/>
      <c r="CW219" s="626"/>
      <c r="CX219" s="626"/>
      <c r="CY219" s="626"/>
      <c r="CZ219" s="626"/>
      <c r="DA219" s="627"/>
    </row>
    <row r="220" spans="1:105" ht="12" customHeight="1">
      <c r="A220" s="612"/>
      <c r="B220" s="612"/>
      <c r="C220" s="612"/>
      <c r="D220" s="612"/>
      <c r="E220" s="612"/>
      <c r="F220" s="612"/>
      <c r="G220" s="612"/>
      <c r="H220" s="632">
        <v>1</v>
      </c>
      <c r="I220" s="633"/>
      <c r="J220" s="633"/>
      <c r="K220" s="633"/>
      <c r="L220" s="633"/>
      <c r="M220" s="633"/>
      <c r="N220" s="633"/>
      <c r="O220" s="633"/>
      <c r="P220" s="633"/>
      <c r="Q220" s="633"/>
      <c r="R220" s="633"/>
      <c r="S220" s="633"/>
      <c r="T220" s="633"/>
      <c r="U220" s="633"/>
      <c r="V220" s="633"/>
      <c r="W220" s="633"/>
      <c r="X220" s="633"/>
      <c r="Y220" s="633"/>
      <c r="Z220" s="633"/>
      <c r="AA220" s="633"/>
      <c r="AB220" s="633"/>
      <c r="AC220" s="633"/>
      <c r="AD220" s="633"/>
      <c r="AE220" s="633"/>
      <c r="AF220" s="633"/>
      <c r="AG220" s="633"/>
      <c r="AH220" s="633"/>
      <c r="AI220" s="633"/>
      <c r="AJ220" s="633"/>
      <c r="AK220" s="633"/>
      <c r="AL220" s="633"/>
      <c r="AM220" s="633"/>
      <c r="AN220" s="633"/>
      <c r="AO220" s="633"/>
      <c r="AP220" s="633"/>
      <c r="AQ220" s="633"/>
      <c r="AR220" s="633"/>
      <c r="AS220" s="633"/>
      <c r="AT220" s="633"/>
      <c r="AU220" s="633"/>
      <c r="AV220" s="633"/>
      <c r="AW220" s="633"/>
      <c r="AX220" s="633"/>
      <c r="AY220" s="633"/>
      <c r="AZ220" s="633"/>
      <c r="BA220" s="633"/>
      <c r="BB220" s="633"/>
      <c r="BC220" s="634"/>
      <c r="BD220" s="612">
        <v>2</v>
      </c>
      <c r="BE220" s="612"/>
      <c r="BF220" s="612"/>
      <c r="BG220" s="612"/>
      <c r="BH220" s="612"/>
      <c r="BI220" s="612"/>
      <c r="BJ220" s="612"/>
      <c r="BK220" s="612"/>
      <c r="BL220" s="612"/>
      <c r="BM220" s="612"/>
      <c r="BN220" s="612"/>
      <c r="BO220" s="612"/>
      <c r="BP220" s="612"/>
      <c r="BQ220" s="612"/>
      <c r="BR220" s="612"/>
      <c r="BS220" s="612"/>
      <c r="BT220" s="612">
        <v>3</v>
      </c>
      <c r="BU220" s="612"/>
      <c r="BV220" s="612"/>
      <c r="BW220" s="612"/>
      <c r="BX220" s="612"/>
      <c r="BY220" s="612"/>
      <c r="BZ220" s="612"/>
      <c r="CA220" s="612"/>
      <c r="CB220" s="612"/>
      <c r="CC220" s="612"/>
      <c r="CD220" s="612"/>
      <c r="CE220" s="612"/>
      <c r="CF220" s="612"/>
      <c r="CG220" s="612"/>
      <c r="CH220" s="612"/>
      <c r="CI220" s="612"/>
      <c r="CJ220" s="612">
        <v>4</v>
      </c>
      <c r="CK220" s="612"/>
      <c r="CL220" s="612"/>
      <c r="CM220" s="612"/>
      <c r="CN220" s="612"/>
      <c r="CO220" s="612"/>
      <c r="CP220" s="612"/>
      <c r="CQ220" s="612"/>
      <c r="CR220" s="612"/>
      <c r="CS220" s="612"/>
      <c r="CT220" s="612"/>
      <c r="CU220" s="612"/>
      <c r="CV220" s="612"/>
      <c r="CW220" s="612"/>
      <c r="CX220" s="612"/>
      <c r="CY220" s="612"/>
      <c r="CZ220" s="612"/>
      <c r="DA220" s="612"/>
    </row>
    <row r="221" spans="1:105" ht="12" customHeight="1">
      <c r="A221" s="635" t="s">
        <v>169</v>
      </c>
      <c r="B221" s="635"/>
      <c r="C221" s="635"/>
      <c r="D221" s="635"/>
      <c r="E221" s="635"/>
      <c r="F221" s="635"/>
      <c r="G221" s="635"/>
      <c r="H221" s="636" t="s">
        <v>475</v>
      </c>
      <c r="I221" s="637"/>
      <c r="J221" s="637"/>
      <c r="K221" s="637"/>
      <c r="L221" s="637"/>
      <c r="M221" s="637"/>
      <c r="N221" s="637"/>
      <c r="O221" s="637"/>
      <c r="P221" s="637"/>
      <c r="Q221" s="637"/>
      <c r="R221" s="637"/>
      <c r="S221" s="637"/>
      <c r="T221" s="637"/>
      <c r="U221" s="637"/>
      <c r="V221" s="637"/>
      <c r="W221" s="637"/>
      <c r="X221" s="637"/>
      <c r="Y221" s="637"/>
      <c r="Z221" s="637"/>
      <c r="AA221" s="637"/>
      <c r="AB221" s="637"/>
      <c r="AC221" s="637"/>
      <c r="AD221" s="637"/>
      <c r="AE221" s="637"/>
      <c r="AF221" s="637"/>
      <c r="AG221" s="637"/>
      <c r="AH221" s="637"/>
      <c r="AI221" s="637"/>
      <c r="AJ221" s="637"/>
      <c r="AK221" s="637"/>
      <c r="AL221" s="637"/>
      <c r="AM221" s="637"/>
      <c r="AN221" s="637"/>
      <c r="AO221" s="637"/>
      <c r="AP221" s="637"/>
      <c r="AQ221" s="637"/>
      <c r="AR221" s="637"/>
      <c r="AS221" s="637"/>
      <c r="AT221" s="637"/>
      <c r="AU221" s="637"/>
      <c r="AV221" s="637"/>
      <c r="AW221" s="637"/>
      <c r="AX221" s="637"/>
      <c r="AY221" s="637"/>
      <c r="AZ221" s="637"/>
      <c r="BA221" s="637"/>
      <c r="BB221" s="637"/>
      <c r="BC221" s="638"/>
      <c r="BD221" s="623"/>
      <c r="BE221" s="623"/>
      <c r="BF221" s="623"/>
      <c r="BG221" s="623"/>
      <c r="BH221" s="623"/>
      <c r="BI221" s="623"/>
      <c r="BJ221" s="623"/>
      <c r="BK221" s="623"/>
      <c r="BL221" s="623"/>
      <c r="BM221" s="623"/>
      <c r="BN221" s="623"/>
      <c r="BO221" s="623"/>
      <c r="BP221" s="623"/>
      <c r="BQ221" s="623"/>
      <c r="BR221" s="623"/>
      <c r="BS221" s="623"/>
      <c r="BT221" s="623"/>
      <c r="BU221" s="623"/>
      <c r="BV221" s="623"/>
      <c r="BW221" s="623"/>
      <c r="BX221" s="623"/>
      <c r="BY221" s="623"/>
      <c r="BZ221" s="623"/>
      <c r="CA221" s="623"/>
      <c r="CB221" s="623"/>
      <c r="CC221" s="623"/>
      <c r="CD221" s="623"/>
      <c r="CE221" s="623"/>
      <c r="CF221" s="623"/>
      <c r="CG221" s="623"/>
      <c r="CH221" s="623"/>
      <c r="CI221" s="623"/>
      <c r="CJ221" s="623"/>
      <c r="CK221" s="623"/>
      <c r="CL221" s="623"/>
      <c r="CM221" s="623"/>
      <c r="CN221" s="623"/>
      <c r="CO221" s="623"/>
      <c r="CP221" s="623"/>
      <c r="CQ221" s="623"/>
      <c r="CR221" s="623"/>
      <c r="CS221" s="623"/>
      <c r="CT221" s="623"/>
      <c r="CU221" s="623"/>
      <c r="CV221" s="623"/>
      <c r="CW221" s="623"/>
      <c r="CX221" s="623"/>
      <c r="CY221" s="623"/>
      <c r="CZ221" s="623"/>
      <c r="DA221" s="623"/>
    </row>
    <row r="222" spans="1:105" ht="12" customHeight="1">
      <c r="A222" s="635"/>
      <c r="B222" s="635"/>
      <c r="C222" s="635"/>
      <c r="D222" s="635"/>
      <c r="E222" s="635"/>
      <c r="F222" s="635"/>
      <c r="G222" s="635"/>
      <c r="H222" s="636" t="s">
        <v>476</v>
      </c>
      <c r="I222" s="637"/>
      <c r="J222" s="637"/>
      <c r="K222" s="637"/>
      <c r="L222" s="637"/>
      <c r="M222" s="637"/>
      <c r="N222" s="637"/>
      <c r="O222" s="637"/>
      <c r="P222" s="637"/>
      <c r="Q222" s="637"/>
      <c r="R222" s="637"/>
      <c r="S222" s="637"/>
      <c r="T222" s="637"/>
      <c r="U222" s="637"/>
      <c r="V222" s="637"/>
      <c r="W222" s="637"/>
      <c r="X222" s="637"/>
      <c r="Y222" s="637"/>
      <c r="Z222" s="637"/>
      <c r="AA222" s="637"/>
      <c r="AB222" s="637"/>
      <c r="AC222" s="637"/>
      <c r="AD222" s="637"/>
      <c r="AE222" s="637"/>
      <c r="AF222" s="637"/>
      <c r="AG222" s="637"/>
      <c r="AH222" s="637"/>
      <c r="AI222" s="637"/>
      <c r="AJ222" s="637"/>
      <c r="AK222" s="637"/>
      <c r="AL222" s="637"/>
      <c r="AM222" s="637"/>
      <c r="AN222" s="637"/>
      <c r="AO222" s="637"/>
      <c r="AP222" s="637"/>
      <c r="AQ222" s="637"/>
      <c r="AR222" s="637"/>
      <c r="AS222" s="637"/>
      <c r="AT222" s="637"/>
      <c r="AU222" s="637"/>
      <c r="AV222" s="637"/>
      <c r="AW222" s="637"/>
      <c r="AX222" s="637"/>
      <c r="AY222" s="637"/>
      <c r="AZ222" s="637"/>
      <c r="BA222" s="637"/>
      <c r="BB222" s="637"/>
      <c r="BC222" s="638"/>
      <c r="BD222" s="631">
        <v>400</v>
      </c>
      <c r="BE222" s="631"/>
      <c r="BF222" s="631"/>
      <c r="BG222" s="631"/>
      <c r="BH222" s="631"/>
      <c r="BI222" s="631"/>
      <c r="BJ222" s="631"/>
      <c r="BK222" s="631"/>
      <c r="BL222" s="631"/>
      <c r="BM222" s="631"/>
      <c r="BN222" s="631"/>
      <c r="BO222" s="631"/>
      <c r="BP222" s="631"/>
      <c r="BQ222" s="631"/>
      <c r="BR222" s="631"/>
      <c r="BS222" s="631"/>
      <c r="BT222" s="639">
        <v>41.7</v>
      </c>
      <c r="BU222" s="639"/>
      <c r="BV222" s="639"/>
      <c r="BW222" s="639"/>
      <c r="BX222" s="639"/>
      <c r="BY222" s="639"/>
      <c r="BZ222" s="639"/>
      <c r="CA222" s="639"/>
      <c r="CB222" s="639"/>
      <c r="CC222" s="639"/>
      <c r="CD222" s="639"/>
      <c r="CE222" s="639"/>
      <c r="CF222" s="639"/>
      <c r="CG222" s="639"/>
      <c r="CH222" s="639"/>
      <c r="CI222" s="639"/>
      <c r="CJ222" s="631">
        <f aca="true" t="shared" si="4" ref="CJ222:CJ235">BD222*BT222</f>
        <v>16680</v>
      </c>
      <c r="CK222" s="631"/>
      <c r="CL222" s="631"/>
      <c r="CM222" s="631"/>
      <c r="CN222" s="631"/>
      <c r="CO222" s="631"/>
      <c r="CP222" s="631"/>
      <c r="CQ222" s="631"/>
      <c r="CR222" s="631"/>
      <c r="CS222" s="631"/>
      <c r="CT222" s="631"/>
      <c r="CU222" s="631"/>
      <c r="CV222" s="631"/>
      <c r="CW222" s="631"/>
      <c r="CX222" s="631"/>
      <c r="CY222" s="631"/>
      <c r="CZ222" s="631"/>
      <c r="DA222" s="631"/>
    </row>
    <row r="223" spans="1:105" ht="12" customHeight="1">
      <c r="A223" s="635"/>
      <c r="B223" s="635"/>
      <c r="C223" s="635"/>
      <c r="D223" s="635"/>
      <c r="E223" s="635"/>
      <c r="F223" s="635"/>
      <c r="G223" s="635"/>
      <c r="H223" s="636" t="s">
        <v>477</v>
      </c>
      <c r="I223" s="637"/>
      <c r="J223" s="637"/>
      <c r="K223" s="637"/>
      <c r="L223" s="637"/>
      <c r="M223" s="637"/>
      <c r="N223" s="637"/>
      <c r="O223" s="637"/>
      <c r="P223" s="637"/>
      <c r="Q223" s="637"/>
      <c r="R223" s="637"/>
      <c r="S223" s="637"/>
      <c r="T223" s="637"/>
      <c r="U223" s="637"/>
      <c r="V223" s="637"/>
      <c r="W223" s="637"/>
      <c r="X223" s="637"/>
      <c r="Y223" s="637"/>
      <c r="Z223" s="637"/>
      <c r="AA223" s="637"/>
      <c r="AB223" s="637"/>
      <c r="AC223" s="637"/>
      <c r="AD223" s="637"/>
      <c r="AE223" s="637"/>
      <c r="AF223" s="637"/>
      <c r="AG223" s="637"/>
      <c r="AH223" s="637"/>
      <c r="AI223" s="637"/>
      <c r="AJ223" s="637"/>
      <c r="AK223" s="637"/>
      <c r="AL223" s="637"/>
      <c r="AM223" s="637"/>
      <c r="AN223" s="637"/>
      <c r="AO223" s="637"/>
      <c r="AP223" s="637"/>
      <c r="AQ223" s="637"/>
      <c r="AR223" s="637"/>
      <c r="AS223" s="637"/>
      <c r="AT223" s="637"/>
      <c r="AU223" s="637"/>
      <c r="AV223" s="637"/>
      <c r="AW223" s="637"/>
      <c r="AX223" s="637"/>
      <c r="AY223" s="637"/>
      <c r="AZ223" s="637"/>
      <c r="BA223" s="637"/>
      <c r="BB223" s="637"/>
      <c r="BC223" s="638"/>
      <c r="BD223" s="631">
        <v>7300</v>
      </c>
      <c r="BE223" s="631"/>
      <c r="BF223" s="631"/>
      <c r="BG223" s="631"/>
      <c r="BH223" s="631"/>
      <c r="BI223" s="631"/>
      <c r="BJ223" s="631"/>
      <c r="BK223" s="631"/>
      <c r="BL223" s="631"/>
      <c r="BM223" s="631"/>
      <c r="BN223" s="631"/>
      <c r="BO223" s="631"/>
      <c r="BP223" s="631"/>
      <c r="BQ223" s="631"/>
      <c r="BR223" s="631"/>
      <c r="BS223" s="631"/>
      <c r="BT223" s="639">
        <v>43.6</v>
      </c>
      <c r="BU223" s="639"/>
      <c r="BV223" s="639"/>
      <c r="BW223" s="639"/>
      <c r="BX223" s="639"/>
      <c r="BY223" s="639"/>
      <c r="BZ223" s="639"/>
      <c r="CA223" s="639"/>
      <c r="CB223" s="639"/>
      <c r="CC223" s="639"/>
      <c r="CD223" s="639"/>
      <c r="CE223" s="639"/>
      <c r="CF223" s="639"/>
      <c r="CG223" s="639"/>
      <c r="CH223" s="639"/>
      <c r="CI223" s="639"/>
      <c r="CJ223" s="631">
        <f t="shared" si="4"/>
        <v>318280</v>
      </c>
      <c r="CK223" s="631"/>
      <c r="CL223" s="631"/>
      <c r="CM223" s="631"/>
      <c r="CN223" s="631"/>
      <c r="CO223" s="631"/>
      <c r="CP223" s="631"/>
      <c r="CQ223" s="631"/>
      <c r="CR223" s="631"/>
      <c r="CS223" s="631"/>
      <c r="CT223" s="631"/>
      <c r="CU223" s="631"/>
      <c r="CV223" s="631"/>
      <c r="CW223" s="631"/>
      <c r="CX223" s="631"/>
      <c r="CY223" s="631"/>
      <c r="CZ223" s="631"/>
      <c r="DA223" s="631"/>
    </row>
    <row r="224" spans="1:105" ht="12" customHeight="1">
      <c r="A224" s="635" t="s">
        <v>37</v>
      </c>
      <c r="B224" s="635"/>
      <c r="C224" s="635"/>
      <c r="D224" s="635"/>
      <c r="E224" s="635"/>
      <c r="F224" s="635"/>
      <c r="G224" s="635"/>
      <c r="H224" s="636" t="s">
        <v>557</v>
      </c>
      <c r="I224" s="637"/>
      <c r="J224" s="637"/>
      <c r="K224" s="637"/>
      <c r="L224" s="637"/>
      <c r="M224" s="637"/>
      <c r="N224" s="637"/>
      <c r="O224" s="637"/>
      <c r="P224" s="637"/>
      <c r="Q224" s="637"/>
      <c r="R224" s="637"/>
      <c r="S224" s="637"/>
      <c r="T224" s="637"/>
      <c r="U224" s="637"/>
      <c r="V224" s="637"/>
      <c r="W224" s="637"/>
      <c r="X224" s="637"/>
      <c r="Y224" s="637"/>
      <c r="Z224" s="637"/>
      <c r="AA224" s="637"/>
      <c r="AB224" s="637"/>
      <c r="AC224" s="637"/>
      <c r="AD224" s="637"/>
      <c r="AE224" s="637"/>
      <c r="AF224" s="637"/>
      <c r="AG224" s="637"/>
      <c r="AH224" s="637"/>
      <c r="AI224" s="637"/>
      <c r="AJ224" s="637"/>
      <c r="AK224" s="637"/>
      <c r="AL224" s="637"/>
      <c r="AM224" s="637"/>
      <c r="AN224" s="637"/>
      <c r="AO224" s="637"/>
      <c r="AP224" s="637"/>
      <c r="AQ224" s="637"/>
      <c r="AR224" s="637"/>
      <c r="AS224" s="637"/>
      <c r="AT224" s="637"/>
      <c r="AU224" s="637"/>
      <c r="AV224" s="637"/>
      <c r="AW224" s="637"/>
      <c r="AX224" s="637"/>
      <c r="AY224" s="637"/>
      <c r="AZ224" s="637"/>
      <c r="BA224" s="637"/>
      <c r="BB224" s="637"/>
      <c r="BC224" s="638"/>
      <c r="BD224" s="631">
        <v>1280</v>
      </c>
      <c r="BE224" s="631"/>
      <c r="BF224" s="631"/>
      <c r="BG224" s="631"/>
      <c r="BH224" s="631"/>
      <c r="BI224" s="631"/>
      <c r="BJ224" s="631"/>
      <c r="BK224" s="631"/>
      <c r="BL224" s="631"/>
      <c r="BM224" s="631"/>
      <c r="BN224" s="631"/>
      <c r="BO224" s="631"/>
      <c r="BP224" s="631"/>
      <c r="BQ224" s="631"/>
      <c r="BR224" s="631"/>
      <c r="BS224" s="631"/>
      <c r="BT224" s="639">
        <v>42.4</v>
      </c>
      <c r="BU224" s="639"/>
      <c r="BV224" s="639"/>
      <c r="BW224" s="639"/>
      <c r="BX224" s="639"/>
      <c r="BY224" s="639"/>
      <c r="BZ224" s="639"/>
      <c r="CA224" s="639"/>
      <c r="CB224" s="639"/>
      <c r="CC224" s="639"/>
      <c r="CD224" s="639"/>
      <c r="CE224" s="639"/>
      <c r="CF224" s="639"/>
      <c r="CG224" s="639"/>
      <c r="CH224" s="639"/>
      <c r="CI224" s="639"/>
      <c r="CJ224" s="631">
        <f t="shared" si="4"/>
        <v>54272</v>
      </c>
      <c r="CK224" s="631"/>
      <c r="CL224" s="631"/>
      <c r="CM224" s="631"/>
      <c r="CN224" s="631"/>
      <c r="CO224" s="631"/>
      <c r="CP224" s="631"/>
      <c r="CQ224" s="631"/>
      <c r="CR224" s="631"/>
      <c r="CS224" s="631"/>
      <c r="CT224" s="631"/>
      <c r="CU224" s="631"/>
      <c r="CV224" s="631"/>
      <c r="CW224" s="631"/>
      <c r="CX224" s="631"/>
      <c r="CY224" s="631"/>
      <c r="CZ224" s="631"/>
      <c r="DA224" s="631"/>
    </row>
    <row r="225" spans="1:105" ht="12" customHeight="1">
      <c r="A225" s="635" t="s">
        <v>38</v>
      </c>
      <c r="B225" s="635"/>
      <c r="C225" s="635"/>
      <c r="D225" s="635"/>
      <c r="E225" s="635"/>
      <c r="F225" s="635"/>
      <c r="G225" s="635"/>
      <c r="H225" s="636" t="s">
        <v>481</v>
      </c>
      <c r="I225" s="637"/>
      <c r="J225" s="637"/>
      <c r="K225" s="637"/>
      <c r="L225" s="637"/>
      <c r="M225" s="637"/>
      <c r="N225" s="637"/>
      <c r="O225" s="637"/>
      <c r="P225" s="637"/>
      <c r="Q225" s="637"/>
      <c r="R225" s="637"/>
      <c r="S225" s="637"/>
      <c r="T225" s="637"/>
      <c r="U225" s="637"/>
      <c r="V225" s="637"/>
      <c r="W225" s="637"/>
      <c r="X225" s="637"/>
      <c r="Y225" s="637"/>
      <c r="Z225" s="637"/>
      <c r="AA225" s="637"/>
      <c r="AB225" s="637"/>
      <c r="AC225" s="637"/>
      <c r="AD225" s="637"/>
      <c r="AE225" s="637"/>
      <c r="AF225" s="637"/>
      <c r="AG225" s="637"/>
      <c r="AH225" s="637"/>
      <c r="AI225" s="637"/>
      <c r="AJ225" s="637"/>
      <c r="AK225" s="637"/>
      <c r="AL225" s="637"/>
      <c r="AM225" s="637"/>
      <c r="AN225" s="637"/>
      <c r="AO225" s="637"/>
      <c r="AP225" s="637"/>
      <c r="AQ225" s="637"/>
      <c r="AR225" s="637"/>
      <c r="AS225" s="637"/>
      <c r="AT225" s="637"/>
      <c r="AU225" s="637"/>
      <c r="AV225" s="637"/>
      <c r="AW225" s="637"/>
      <c r="AX225" s="637"/>
      <c r="AY225" s="637"/>
      <c r="AZ225" s="637"/>
      <c r="BA225" s="637"/>
      <c r="BB225" s="637"/>
      <c r="BC225" s="638"/>
      <c r="BD225" s="631">
        <v>100</v>
      </c>
      <c r="BE225" s="631"/>
      <c r="BF225" s="631"/>
      <c r="BG225" s="631"/>
      <c r="BH225" s="631"/>
      <c r="BI225" s="631"/>
      <c r="BJ225" s="631"/>
      <c r="BK225" s="631"/>
      <c r="BL225" s="631"/>
      <c r="BM225" s="631"/>
      <c r="BN225" s="631"/>
      <c r="BO225" s="631"/>
      <c r="BP225" s="631"/>
      <c r="BQ225" s="631"/>
      <c r="BR225" s="631"/>
      <c r="BS225" s="631"/>
      <c r="BT225" s="639">
        <v>1350</v>
      </c>
      <c r="BU225" s="639"/>
      <c r="BV225" s="639"/>
      <c r="BW225" s="639"/>
      <c r="BX225" s="639"/>
      <c r="BY225" s="639"/>
      <c r="BZ225" s="639"/>
      <c r="CA225" s="639"/>
      <c r="CB225" s="639"/>
      <c r="CC225" s="639"/>
      <c r="CD225" s="639"/>
      <c r="CE225" s="639"/>
      <c r="CF225" s="639"/>
      <c r="CG225" s="639"/>
      <c r="CH225" s="639"/>
      <c r="CI225" s="639"/>
      <c r="CJ225" s="631">
        <v>135000</v>
      </c>
      <c r="CK225" s="631"/>
      <c r="CL225" s="631"/>
      <c r="CM225" s="631"/>
      <c r="CN225" s="631"/>
      <c r="CO225" s="631"/>
      <c r="CP225" s="631"/>
      <c r="CQ225" s="631"/>
      <c r="CR225" s="631"/>
      <c r="CS225" s="631"/>
      <c r="CT225" s="631"/>
      <c r="CU225" s="631"/>
      <c r="CV225" s="631"/>
      <c r="CW225" s="631"/>
      <c r="CX225" s="631"/>
      <c r="CY225" s="631"/>
      <c r="CZ225" s="631"/>
      <c r="DA225" s="631"/>
    </row>
    <row r="226" spans="1:105" ht="12" customHeight="1">
      <c r="A226" s="635" t="s">
        <v>319</v>
      </c>
      <c r="B226" s="635"/>
      <c r="C226" s="635"/>
      <c r="D226" s="635"/>
      <c r="E226" s="635"/>
      <c r="F226" s="635"/>
      <c r="G226" s="635"/>
      <c r="H226" s="636" t="s">
        <v>483</v>
      </c>
      <c r="I226" s="637"/>
      <c r="J226" s="637"/>
      <c r="K226" s="637"/>
      <c r="L226" s="637"/>
      <c r="M226" s="637"/>
      <c r="N226" s="637"/>
      <c r="O226" s="637"/>
      <c r="P226" s="637"/>
      <c r="Q226" s="637"/>
      <c r="R226" s="637"/>
      <c r="S226" s="637"/>
      <c r="T226" s="637"/>
      <c r="U226" s="637"/>
      <c r="V226" s="637"/>
      <c r="W226" s="637"/>
      <c r="X226" s="637"/>
      <c r="Y226" s="637"/>
      <c r="Z226" s="637"/>
      <c r="AA226" s="637"/>
      <c r="AB226" s="637"/>
      <c r="AC226" s="637"/>
      <c r="AD226" s="637"/>
      <c r="AE226" s="637"/>
      <c r="AF226" s="637"/>
      <c r="AG226" s="637"/>
      <c r="AH226" s="637"/>
      <c r="AI226" s="637"/>
      <c r="AJ226" s="637"/>
      <c r="AK226" s="637"/>
      <c r="AL226" s="637"/>
      <c r="AM226" s="637"/>
      <c r="AN226" s="637"/>
      <c r="AO226" s="637"/>
      <c r="AP226" s="637"/>
      <c r="AQ226" s="637"/>
      <c r="AR226" s="637"/>
      <c r="AS226" s="637"/>
      <c r="AT226" s="637"/>
      <c r="AU226" s="637"/>
      <c r="AV226" s="637"/>
      <c r="AW226" s="637"/>
      <c r="AX226" s="637"/>
      <c r="AY226" s="637"/>
      <c r="AZ226" s="637"/>
      <c r="BA226" s="637"/>
      <c r="BB226" s="637"/>
      <c r="BC226" s="638"/>
      <c r="BD226" s="631">
        <v>3200</v>
      </c>
      <c r="BE226" s="631"/>
      <c r="BF226" s="631"/>
      <c r="BG226" s="631"/>
      <c r="BH226" s="631"/>
      <c r="BI226" s="631"/>
      <c r="BJ226" s="631"/>
      <c r="BK226" s="631"/>
      <c r="BL226" s="631"/>
      <c r="BM226" s="631"/>
      <c r="BN226" s="631"/>
      <c r="BO226" s="631"/>
      <c r="BP226" s="631"/>
      <c r="BQ226" s="631"/>
      <c r="BR226" s="631"/>
      <c r="BS226" s="631"/>
      <c r="BT226" s="639">
        <v>54.13</v>
      </c>
      <c r="BU226" s="639"/>
      <c r="BV226" s="639"/>
      <c r="BW226" s="639"/>
      <c r="BX226" s="639"/>
      <c r="BY226" s="639"/>
      <c r="BZ226" s="639"/>
      <c r="CA226" s="639"/>
      <c r="CB226" s="639"/>
      <c r="CC226" s="639"/>
      <c r="CD226" s="639"/>
      <c r="CE226" s="639"/>
      <c r="CF226" s="639"/>
      <c r="CG226" s="639"/>
      <c r="CH226" s="639"/>
      <c r="CI226" s="639"/>
      <c r="CJ226" s="631">
        <f t="shared" si="4"/>
        <v>173216</v>
      </c>
      <c r="CK226" s="631"/>
      <c r="CL226" s="631"/>
      <c r="CM226" s="631"/>
      <c r="CN226" s="631"/>
      <c r="CO226" s="631"/>
      <c r="CP226" s="631"/>
      <c r="CQ226" s="631"/>
      <c r="CR226" s="631"/>
      <c r="CS226" s="631"/>
      <c r="CT226" s="631"/>
      <c r="CU226" s="631"/>
      <c r="CV226" s="631"/>
      <c r="CW226" s="631"/>
      <c r="CX226" s="631"/>
      <c r="CY226" s="631"/>
      <c r="CZ226" s="631"/>
      <c r="DA226" s="631"/>
    </row>
    <row r="227" spans="1:105" ht="12" customHeight="1">
      <c r="A227" s="635" t="s">
        <v>320</v>
      </c>
      <c r="B227" s="635"/>
      <c r="C227" s="635"/>
      <c r="D227" s="635"/>
      <c r="E227" s="635"/>
      <c r="F227" s="635"/>
      <c r="G227" s="635"/>
      <c r="H227" s="636" t="s">
        <v>484</v>
      </c>
      <c r="I227" s="637"/>
      <c r="J227" s="637"/>
      <c r="K227" s="637"/>
      <c r="L227" s="637"/>
      <c r="M227" s="637"/>
      <c r="N227" s="637"/>
      <c r="O227" s="637"/>
      <c r="P227" s="637"/>
      <c r="Q227" s="637"/>
      <c r="R227" s="637"/>
      <c r="S227" s="637"/>
      <c r="T227" s="637"/>
      <c r="U227" s="637"/>
      <c r="V227" s="637"/>
      <c r="W227" s="637"/>
      <c r="X227" s="637"/>
      <c r="Y227" s="637"/>
      <c r="Z227" s="637"/>
      <c r="AA227" s="637"/>
      <c r="AB227" s="637"/>
      <c r="AC227" s="637"/>
      <c r="AD227" s="637"/>
      <c r="AE227" s="637"/>
      <c r="AF227" s="637"/>
      <c r="AG227" s="637"/>
      <c r="AH227" s="637"/>
      <c r="AI227" s="637"/>
      <c r="AJ227" s="637"/>
      <c r="AK227" s="637"/>
      <c r="AL227" s="637"/>
      <c r="AM227" s="637"/>
      <c r="AN227" s="637"/>
      <c r="AO227" s="637"/>
      <c r="AP227" s="637"/>
      <c r="AQ227" s="637"/>
      <c r="AR227" s="637"/>
      <c r="AS227" s="637"/>
      <c r="AT227" s="637"/>
      <c r="AU227" s="637"/>
      <c r="AV227" s="637"/>
      <c r="AW227" s="637"/>
      <c r="AX227" s="637"/>
      <c r="AY227" s="637"/>
      <c r="AZ227" s="637"/>
      <c r="BA227" s="637"/>
      <c r="BB227" s="637"/>
      <c r="BC227" s="638"/>
      <c r="BD227" s="631">
        <v>245</v>
      </c>
      <c r="BE227" s="631"/>
      <c r="BF227" s="631"/>
      <c r="BG227" s="631"/>
      <c r="BH227" s="631"/>
      <c r="BI227" s="631"/>
      <c r="BJ227" s="631"/>
      <c r="BK227" s="631"/>
      <c r="BL227" s="631"/>
      <c r="BM227" s="631"/>
      <c r="BN227" s="631"/>
      <c r="BO227" s="631"/>
      <c r="BP227" s="631"/>
      <c r="BQ227" s="631"/>
      <c r="BR227" s="631"/>
      <c r="BS227" s="631"/>
      <c r="BT227" s="639">
        <v>1043.48</v>
      </c>
      <c r="BU227" s="639"/>
      <c r="BV227" s="639"/>
      <c r="BW227" s="639"/>
      <c r="BX227" s="639"/>
      <c r="BY227" s="639"/>
      <c r="BZ227" s="639"/>
      <c r="CA227" s="639"/>
      <c r="CB227" s="639"/>
      <c r="CC227" s="639"/>
      <c r="CD227" s="639"/>
      <c r="CE227" s="639"/>
      <c r="CF227" s="639"/>
      <c r="CG227" s="639"/>
      <c r="CH227" s="639"/>
      <c r="CI227" s="639"/>
      <c r="CJ227" s="631">
        <f t="shared" si="4"/>
        <v>255652.6</v>
      </c>
      <c r="CK227" s="631"/>
      <c r="CL227" s="631"/>
      <c r="CM227" s="631"/>
      <c r="CN227" s="631"/>
      <c r="CO227" s="631"/>
      <c r="CP227" s="631"/>
      <c r="CQ227" s="631"/>
      <c r="CR227" s="631"/>
      <c r="CS227" s="631"/>
      <c r="CT227" s="631"/>
      <c r="CU227" s="631"/>
      <c r="CV227" s="631"/>
      <c r="CW227" s="631"/>
      <c r="CX227" s="631"/>
      <c r="CY227" s="631"/>
      <c r="CZ227" s="631"/>
      <c r="DA227" s="631"/>
    </row>
    <row r="228" spans="1:105" ht="12" customHeight="1">
      <c r="A228" s="635" t="s">
        <v>321</v>
      </c>
      <c r="B228" s="635"/>
      <c r="C228" s="635"/>
      <c r="D228" s="635"/>
      <c r="E228" s="635"/>
      <c r="F228" s="635"/>
      <c r="G228" s="635"/>
      <c r="H228" s="636" t="s">
        <v>486</v>
      </c>
      <c r="I228" s="637"/>
      <c r="J228" s="637"/>
      <c r="K228" s="637"/>
      <c r="L228" s="637"/>
      <c r="M228" s="637"/>
      <c r="N228" s="637"/>
      <c r="O228" s="637"/>
      <c r="P228" s="637"/>
      <c r="Q228" s="637"/>
      <c r="R228" s="637"/>
      <c r="S228" s="637"/>
      <c r="T228" s="637"/>
      <c r="U228" s="637"/>
      <c r="V228" s="637"/>
      <c r="W228" s="637"/>
      <c r="X228" s="637"/>
      <c r="Y228" s="637"/>
      <c r="Z228" s="637"/>
      <c r="AA228" s="637"/>
      <c r="AB228" s="637"/>
      <c r="AC228" s="637"/>
      <c r="AD228" s="637"/>
      <c r="AE228" s="637"/>
      <c r="AF228" s="637"/>
      <c r="AG228" s="637"/>
      <c r="AH228" s="637"/>
      <c r="AI228" s="637"/>
      <c r="AJ228" s="637"/>
      <c r="AK228" s="637"/>
      <c r="AL228" s="637"/>
      <c r="AM228" s="637"/>
      <c r="AN228" s="637"/>
      <c r="AO228" s="637"/>
      <c r="AP228" s="637"/>
      <c r="AQ228" s="637"/>
      <c r="AR228" s="637"/>
      <c r="AS228" s="637"/>
      <c r="AT228" s="637"/>
      <c r="AU228" s="637"/>
      <c r="AV228" s="637"/>
      <c r="AW228" s="637"/>
      <c r="AX228" s="637"/>
      <c r="AY228" s="637"/>
      <c r="AZ228" s="637"/>
      <c r="BA228" s="637"/>
      <c r="BB228" s="637"/>
      <c r="BC228" s="638"/>
      <c r="BD228" s="631">
        <v>45</v>
      </c>
      <c r="BE228" s="631"/>
      <c r="BF228" s="631"/>
      <c r="BG228" s="631"/>
      <c r="BH228" s="631"/>
      <c r="BI228" s="631"/>
      <c r="BJ228" s="631"/>
      <c r="BK228" s="631"/>
      <c r="BL228" s="631"/>
      <c r="BM228" s="631"/>
      <c r="BN228" s="631"/>
      <c r="BO228" s="631"/>
      <c r="BP228" s="631"/>
      <c r="BQ228" s="631"/>
      <c r="BR228" s="631"/>
      <c r="BS228" s="631"/>
      <c r="BT228" s="631">
        <v>6369.86</v>
      </c>
      <c r="BU228" s="631"/>
      <c r="BV228" s="631"/>
      <c r="BW228" s="631"/>
      <c r="BX228" s="631"/>
      <c r="BY228" s="631"/>
      <c r="BZ228" s="631"/>
      <c r="CA228" s="631"/>
      <c r="CB228" s="631"/>
      <c r="CC228" s="631"/>
      <c r="CD228" s="631"/>
      <c r="CE228" s="631"/>
      <c r="CF228" s="631"/>
      <c r="CG228" s="631"/>
      <c r="CH228" s="631"/>
      <c r="CI228" s="631"/>
      <c r="CJ228" s="631">
        <f>BD228*BT228-182.8</f>
        <v>286460.9</v>
      </c>
      <c r="CK228" s="631"/>
      <c r="CL228" s="631"/>
      <c r="CM228" s="631"/>
      <c r="CN228" s="631"/>
      <c r="CO228" s="631"/>
      <c r="CP228" s="631"/>
      <c r="CQ228" s="631"/>
      <c r="CR228" s="631"/>
      <c r="CS228" s="631"/>
      <c r="CT228" s="631"/>
      <c r="CU228" s="631"/>
      <c r="CV228" s="631"/>
      <c r="CW228" s="631"/>
      <c r="CX228" s="631"/>
      <c r="CY228" s="631"/>
      <c r="CZ228" s="631"/>
      <c r="DA228" s="631"/>
    </row>
    <row r="229" spans="1:105" ht="12" customHeight="1">
      <c r="A229" s="635" t="s">
        <v>322</v>
      </c>
      <c r="B229" s="635"/>
      <c r="C229" s="635"/>
      <c r="D229" s="635"/>
      <c r="E229" s="635"/>
      <c r="F229" s="635"/>
      <c r="G229" s="635"/>
      <c r="H229" s="636" t="s">
        <v>488</v>
      </c>
      <c r="I229" s="637"/>
      <c r="J229" s="637"/>
      <c r="K229" s="637"/>
      <c r="L229" s="637"/>
      <c r="M229" s="637"/>
      <c r="N229" s="637"/>
      <c r="O229" s="637"/>
      <c r="P229" s="637"/>
      <c r="Q229" s="637"/>
      <c r="R229" s="637"/>
      <c r="S229" s="637"/>
      <c r="T229" s="637"/>
      <c r="U229" s="637"/>
      <c r="V229" s="637"/>
      <c r="W229" s="637"/>
      <c r="X229" s="637"/>
      <c r="Y229" s="637"/>
      <c r="Z229" s="637"/>
      <c r="AA229" s="637"/>
      <c r="AB229" s="637"/>
      <c r="AC229" s="637"/>
      <c r="AD229" s="637"/>
      <c r="AE229" s="637"/>
      <c r="AF229" s="637"/>
      <c r="AG229" s="637"/>
      <c r="AH229" s="637"/>
      <c r="AI229" s="637"/>
      <c r="AJ229" s="637"/>
      <c r="AK229" s="637"/>
      <c r="AL229" s="637"/>
      <c r="AM229" s="637"/>
      <c r="AN229" s="637"/>
      <c r="AO229" s="637"/>
      <c r="AP229" s="637"/>
      <c r="AQ229" s="637"/>
      <c r="AR229" s="637"/>
      <c r="AS229" s="637"/>
      <c r="AT229" s="637"/>
      <c r="AU229" s="637"/>
      <c r="AV229" s="637"/>
      <c r="AW229" s="637"/>
      <c r="AX229" s="637"/>
      <c r="AY229" s="637"/>
      <c r="AZ229" s="637"/>
      <c r="BA229" s="637"/>
      <c r="BB229" s="637"/>
      <c r="BC229" s="638"/>
      <c r="BD229" s="631">
        <v>40</v>
      </c>
      <c r="BE229" s="631"/>
      <c r="BF229" s="631"/>
      <c r="BG229" s="631"/>
      <c r="BH229" s="631"/>
      <c r="BI229" s="631"/>
      <c r="BJ229" s="631"/>
      <c r="BK229" s="631"/>
      <c r="BL229" s="631"/>
      <c r="BM229" s="631"/>
      <c r="BN229" s="631"/>
      <c r="BO229" s="631"/>
      <c r="BP229" s="631"/>
      <c r="BQ229" s="631"/>
      <c r="BR229" s="631"/>
      <c r="BS229" s="631"/>
      <c r="BT229" s="631">
        <v>3000</v>
      </c>
      <c r="BU229" s="631"/>
      <c r="BV229" s="631"/>
      <c r="BW229" s="631"/>
      <c r="BX229" s="631"/>
      <c r="BY229" s="631"/>
      <c r="BZ229" s="631"/>
      <c r="CA229" s="631"/>
      <c r="CB229" s="631"/>
      <c r="CC229" s="631"/>
      <c r="CD229" s="631"/>
      <c r="CE229" s="631"/>
      <c r="CF229" s="631"/>
      <c r="CG229" s="631"/>
      <c r="CH229" s="631"/>
      <c r="CI229" s="631"/>
      <c r="CJ229" s="631">
        <f t="shared" si="4"/>
        <v>120000</v>
      </c>
      <c r="CK229" s="631"/>
      <c r="CL229" s="631"/>
      <c r="CM229" s="631"/>
      <c r="CN229" s="631"/>
      <c r="CO229" s="631"/>
      <c r="CP229" s="631"/>
      <c r="CQ229" s="631"/>
      <c r="CR229" s="631"/>
      <c r="CS229" s="631"/>
      <c r="CT229" s="631"/>
      <c r="CU229" s="631"/>
      <c r="CV229" s="631"/>
      <c r="CW229" s="631"/>
      <c r="CX229" s="631"/>
      <c r="CY229" s="631"/>
      <c r="CZ229" s="631"/>
      <c r="DA229" s="631"/>
    </row>
    <row r="230" spans="1:105" ht="12" customHeight="1">
      <c r="A230" s="635" t="s">
        <v>323</v>
      </c>
      <c r="B230" s="635"/>
      <c r="C230" s="635"/>
      <c r="D230" s="635"/>
      <c r="E230" s="635"/>
      <c r="F230" s="635"/>
      <c r="G230" s="635"/>
      <c r="H230" s="636" t="s">
        <v>489</v>
      </c>
      <c r="I230" s="637"/>
      <c r="J230" s="637"/>
      <c r="K230" s="637"/>
      <c r="L230" s="637"/>
      <c r="M230" s="637"/>
      <c r="N230" s="637"/>
      <c r="O230" s="637"/>
      <c r="P230" s="637"/>
      <c r="Q230" s="637"/>
      <c r="R230" s="637"/>
      <c r="S230" s="637"/>
      <c r="T230" s="637"/>
      <c r="U230" s="637"/>
      <c r="V230" s="637"/>
      <c r="W230" s="637"/>
      <c r="X230" s="637"/>
      <c r="Y230" s="637"/>
      <c r="Z230" s="637"/>
      <c r="AA230" s="637"/>
      <c r="AB230" s="637"/>
      <c r="AC230" s="637"/>
      <c r="AD230" s="637"/>
      <c r="AE230" s="637"/>
      <c r="AF230" s="637"/>
      <c r="AG230" s="637"/>
      <c r="AH230" s="637"/>
      <c r="AI230" s="637"/>
      <c r="AJ230" s="637"/>
      <c r="AK230" s="637"/>
      <c r="AL230" s="637"/>
      <c r="AM230" s="637"/>
      <c r="AN230" s="637"/>
      <c r="AO230" s="637"/>
      <c r="AP230" s="637"/>
      <c r="AQ230" s="637"/>
      <c r="AR230" s="637"/>
      <c r="AS230" s="637"/>
      <c r="AT230" s="637"/>
      <c r="AU230" s="637"/>
      <c r="AV230" s="637"/>
      <c r="AW230" s="637"/>
      <c r="AX230" s="637"/>
      <c r="AY230" s="637"/>
      <c r="AZ230" s="637"/>
      <c r="BA230" s="637"/>
      <c r="BB230" s="637"/>
      <c r="BC230" s="638"/>
      <c r="BD230" s="631">
        <v>350</v>
      </c>
      <c r="BE230" s="631"/>
      <c r="BF230" s="631"/>
      <c r="BG230" s="631"/>
      <c r="BH230" s="631"/>
      <c r="BI230" s="631"/>
      <c r="BJ230" s="631"/>
      <c r="BK230" s="631"/>
      <c r="BL230" s="631"/>
      <c r="BM230" s="631"/>
      <c r="BN230" s="631"/>
      <c r="BO230" s="631"/>
      <c r="BP230" s="631"/>
      <c r="BQ230" s="631"/>
      <c r="BR230" s="631"/>
      <c r="BS230" s="631"/>
      <c r="BT230" s="631">
        <v>338.13</v>
      </c>
      <c r="BU230" s="631"/>
      <c r="BV230" s="631"/>
      <c r="BW230" s="631"/>
      <c r="BX230" s="631"/>
      <c r="BY230" s="631"/>
      <c r="BZ230" s="631"/>
      <c r="CA230" s="631"/>
      <c r="CB230" s="631"/>
      <c r="CC230" s="631"/>
      <c r="CD230" s="631"/>
      <c r="CE230" s="631"/>
      <c r="CF230" s="631"/>
      <c r="CG230" s="631"/>
      <c r="CH230" s="631"/>
      <c r="CI230" s="631"/>
      <c r="CJ230" s="631">
        <f t="shared" si="4"/>
        <v>118345.5</v>
      </c>
      <c r="CK230" s="631"/>
      <c r="CL230" s="631"/>
      <c r="CM230" s="631"/>
      <c r="CN230" s="631"/>
      <c r="CO230" s="631"/>
      <c r="CP230" s="631"/>
      <c r="CQ230" s="631"/>
      <c r="CR230" s="631"/>
      <c r="CS230" s="631"/>
      <c r="CT230" s="631"/>
      <c r="CU230" s="631"/>
      <c r="CV230" s="631"/>
      <c r="CW230" s="631"/>
      <c r="CX230" s="631"/>
      <c r="CY230" s="631"/>
      <c r="CZ230" s="631"/>
      <c r="DA230" s="631"/>
    </row>
    <row r="231" spans="1:105" ht="12" customHeight="1">
      <c r="A231" s="635" t="s">
        <v>324</v>
      </c>
      <c r="B231" s="635"/>
      <c r="C231" s="635"/>
      <c r="D231" s="635"/>
      <c r="E231" s="635"/>
      <c r="F231" s="635"/>
      <c r="G231" s="635"/>
      <c r="H231" s="636" t="s">
        <v>498</v>
      </c>
      <c r="I231" s="637"/>
      <c r="J231" s="637"/>
      <c r="K231" s="637"/>
      <c r="L231" s="637"/>
      <c r="M231" s="637"/>
      <c r="N231" s="637"/>
      <c r="O231" s="637"/>
      <c r="P231" s="637"/>
      <c r="Q231" s="637"/>
      <c r="R231" s="637"/>
      <c r="S231" s="637"/>
      <c r="T231" s="637"/>
      <c r="U231" s="637"/>
      <c r="V231" s="637"/>
      <c r="W231" s="637"/>
      <c r="X231" s="637"/>
      <c r="Y231" s="637"/>
      <c r="Z231" s="637"/>
      <c r="AA231" s="637"/>
      <c r="AB231" s="637"/>
      <c r="AC231" s="637"/>
      <c r="AD231" s="637"/>
      <c r="AE231" s="637"/>
      <c r="AF231" s="637"/>
      <c r="AG231" s="637"/>
      <c r="AH231" s="637"/>
      <c r="AI231" s="637"/>
      <c r="AJ231" s="637"/>
      <c r="AK231" s="637"/>
      <c r="AL231" s="637"/>
      <c r="AM231" s="637"/>
      <c r="AN231" s="637"/>
      <c r="AO231" s="637"/>
      <c r="AP231" s="637"/>
      <c r="AQ231" s="637"/>
      <c r="AR231" s="637"/>
      <c r="AS231" s="637"/>
      <c r="AT231" s="637"/>
      <c r="AU231" s="637"/>
      <c r="AV231" s="637"/>
      <c r="AW231" s="637"/>
      <c r="AX231" s="637"/>
      <c r="AY231" s="637"/>
      <c r="AZ231" s="637"/>
      <c r="BA231" s="637"/>
      <c r="BB231" s="637"/>
      <c r="BC231" s="638"/>
      <c r="BD231" s="631">
        <v>400</v>
      </c>
      <c r="BE231" s="631"/>
      <c r="BF231" s="631"/>
      <c r="BG231" s="631"/>
      <c r="BH231" s="631"/>
      <c r="BI231" s="631"/>
      <c r="BJ231" s="631"/>
      <c r="BK231" s="631"/>
      <c r="BL231" s="631"/>
      <c r="BM231" s="631"/>
      <c r="BN231" s="631"/>
      <c r="BO231" s="631"/>
      <c r="BP231" s="631"/>
      <c r="BQ231" s="631"/>
      <c r="BR231" s="631"/>
      <c r="BS231" s="631"/>
      <c r="BT231" s="631">
        <v>357.14</v>
      </c>
      <c r="BU231" s="631"/>
      <c r="BV231" s="631"/>
      <c r="BW231" s="631"/>
      <c r="BX231" s="631"/>
      <c r="BY231" s="631"/>
      <c r="BZ231" s="631"/>
      <c r="CA231" s="631"/>
      <c r="CB231" s="631"/>
      <c r="CC231" s="631"/>
      <c r="CD231" s="631"/>
      <c r="CE231" s="631"/>
      <c r="CF231" s="631"/>
      <c r="CG231" s="631"/>
      <c r="CH231" s="631"/>
      <c r="CI231" s="631"/>
      <c r="CJ231" s="631">
        <f t="shared" si="4"/>
        <v>142856</v>
      </c>
      <c r="CK231" s="631"/>
      <c r="CL231" s="631"/>
      <c r="CM231" s="631"/>
      <c r="CN231" s="631"/>
      <c r="CO231" s="631"/>
      <c r="CP231" s="631"/>
      <c r="CQ231" s="631"/>
      <c r="CR231" s="631"/>
      <c r="CS231" s="631"/>
      <c r="CT231" s="631"/>
      <c r="CU231" s="631"/>
      <c r="CV231" s="631"/>
      <c r="CW231" s="631"/>
      <c r="CX231" s="631"/>
      <c r="CY231" s="631"/>
      <c r="CZ231" s="631"/>
      <c r="DA231" s="631"/>
    </row>
    <row r="232" spans="1:105" ht="12" customHeight="1">
      <c r="A232" s="635" t="s">
        <v>325</v>
      </c>
      <c r="B232" s="635"/>
      <c r="C232" s="635"/>
      <c r="D232" s="635"/>
      <c r="E232" s="635"/>
      <c r="F232" s="635"/>
      <c r="G232" s="635"/>
      <c r="H232" s="636" t="s">
        <v>499</v>
      </c>
      <c r="I232" s="637"/>
      <c r="J232" s="637"/>
      <c r="K232" s="637"/>
      <c r="L232" s="637"/>
      <c r="M232" s="637"/>
      <c r="N232" s="637"/>
      <c r="O232" s="637"/>
      <c r="P232" s="637"/>
      <c r="Q232" s="637"/>
      <c r="R232" s="637"/>
      <c r="S232" s="637"/>
      <c r="T232" s="637"/>
      <c r="U232" s="637"/>
      <c r="V232" s="637"/>
      <c r="W232" s="637"/>
      <c r="X232" s="637"/>
      <c r="Y232" s="637"/>
      <c r="Z232" s="637"/>
      <c r="AA232" s="637"/>
      <c r="AB232" s="637"/>
      <c r="AC232" s="637"/>
      <c r="AD232" s="637"/>
      <c r="AE232" s="637"/>
      <c r="AF232" s="637"/>
      <c r="AG232" s="637"/>
      <c r="AH232" s="637"/>
      <c r="AI232" s="637"/>
      <c r="AJ232" s="637"/>
      <c r="AK232" s="637"/>
      <c r="AL232" s="637"/>
      <c r="AM232" s="637"/>
      <c r="AN232" s="637"/>
      <c r="AO232" s="637"/>
      <c r="AP232" s="637"/>
      <c r="AQ232" s="637"/>
      <c r="AR232" s="637"/>
      <c r="AS232" s="637"/>
      <c r="AT232" s="637"/>
      <c r="AU232" s="637"/>
      <c r="AV232" s="637"/>
      <c r="AW232" s="637"/>
      <c r="AX232" s="637"/>
      <c r="AY232" s="637"/>
      <c r="AZ232" s="637"/>
      <c r="BA232" s="637"/>
      <c r="BB232" s="637"/>
      <c r="BC232" s="638"/>
      <c r="BD232" s="631">
        <v>600</v>
      </c>
      <c r="BE232" s="631"/>
      <c r="BF232" s="631"/>
      <c r="BG232" s="631"/>
      <c r="BH232" s="631"/>
      <c r="BI232" s="631"/>
      <c r="BJ232" s="631"/>
      <c r="BK232" s="631"/>
      <c r="BL232" s="631"/>
      <c r="BM232" s="631"/>
      <c r="BN232" s="631"/>
      <c r="BO232" s="631"/>
      <c r="BP232" s="631"/>
      <c r="BQ232" s="631"/>
      <c r="BR232" s="631"/>
      <c r="BS232" s="631"/>
      <c r="BT232" s="631">
        <v>103.17</v>
      </c>
      <c r="BU232" s="631"/>
      <c r="BV232" s="631"/>
      <c r="BW232" s="631"/>
      <c r="BX232" s="631"/>
      <c r="BY232" s="631"/>
      <c r="BZ232" s="631"/>
      <c r="CA232" s="631"/>
      <c r="CB232" s="631"/>
      <c r="CC232" s="631"/>
      <c r="CD232" s="631"/>
      <c r="CE232" s="631"/>
      <c r="CF232" s="631"/>
      <c r="CG232" s="631"/>
      <c r="CH232" s="631"/>
      <c r="CI232" s="631"/>
      <c r="CJ232" s="631">
        <f t="shared" si="4"/>
        <v>61902</v>
      </c>
      <c r="CK232" s="631"/>
      <c r="CL232" s="631"/>
      <c r="CM232" s="631"/>
      <c r="CN232" s="631"/>
      <c r="CO232" s="631"/>
      <c r="CP232" s="631"/>
      <c r="CQ232" s="631"/>
      <c r="CR232" s="631"/>
      <c r="CS232" s="631"/>
      <c r="CT232" s="631"/>
      <c r="CU232" s="631"/>
      <c r="CV232" s="631"/>
      <c r="CW232" s="631"/>
      <c r="CX232" s="631"/>
      <c r="CY232" s="631"/>
      <c r="CZ232" s="631"/>
      <c r="DA232" s="631"/>
    </row>
    <row r="233" spans="1:105" ht="12" customHeight="1">
      <c r="A233" s="635" t="s">
        <v>326</v>
      </c>
      <c r="B233" s="635"/>
      <c r="C233" s="635"/>
      <c r="D233" s="635"/>
      <c r="E233" s="635"/>
      <c r="F233" s="635"/>
      <c r="G233" s="635"/>
      <c r="H233" s="636" t="s">
        <v>558</v>
      </c>
      <c r="I233" s="637"/>
      <c r="J233" s="637"/>
      <c r="K233" s="637"/>
      <c r="L233" s="637"/>
      <c r="M233" s="637"/>
      <c r="N233" s="637"/>
      <c r="O233" s="637"/>
      <c r="P233" s="637"/>
      <c r="Q233" s="637"/>
      <c r="R233" s="637"/>
      <c r="S233" s="637"/>
      <c r="T233" s="637"/>
      <c r="U233" s="637"/>
      <c r="V233" s="637"/>
      <c r="W233" s="637"/>
      <c r="X233" s="637"/>
      <c r="Y233" s="637"/>
      <c r="Z233" s="637"/>
      <c r="AA233" s="637"/>
      <c r="AB233" s="637"/>
      <c r="AC233" s="637"/>
      <c r="AD233" s="637"/>
      <c r="AE233" s="637"/>
      <c r="AF233" s="637"/>
      <c r="AG233" s="637"/>
      <c r="AH233" s="637"/>
      <c r="AI233" s="637"/>
      <c r="AJ233" s="637"/>
      <c r="AK233" s="637"/>
      <c r="AL233" s="637"/>
      <c r="AM233" s="637"/>
      <c r="AN233" s="637"/>
      <c r="AO233" s="637"/>
      <c r="AP233" s="637"/>
      <c r="AQ233" s="637"/>
      <c r="AR233" s="637"/>
      <c r="AS233" s="637"/>
      <c r="AT233" s="637"/>
      <c r="AU233" s="637"/>
      <c r="AV233" s="637"/>
      <c r="AW233" s="637"/>
      <c r="AX233" s="637"/>
      <c r="AY233" s="637"/>
      <c r="AZ233" s="637"/>
      <c r="BA233" s="637"/>
      <c r="BB233" s="637"/>
      <c r="BC233" s="638"/>
      <c r="BD233" s="631">
        <v>400</v>
      </c>
      <c r="BE233" s="631"/>
      <c r="BF233" s="631"/>
      <c r="BG233" s="631"/>
      <c r="BH233" s="631"/>
      <c r="BI233" s="631"/>
      <c r="BJ233" s="631"/>
      <c r="BK233" s="631"/>
      <c r="BL233" s="631"/>
      <c r="BM233" s="631"/>
      <c r="BN233" s="631"/>
      <c r="BO233" s="631"/>
      <c r="BP233" s="631"/>
      <c r="BQ233" s="631"/>
      <c r="BR233" s="631"/>
      <c r="BS233" s="631"/>
      <c r="BT233" s="631">
        <v>3330</v>
      </c>
      <c r="BU233" s="631"/>
      <c r="BV233" s="631"/>
      <c r="BW233" s="631"/>
      <c r="BX233" s="631"/>
      <c r="BY233" s="631"/>
      <c r="BZ233" s="631"/>
      <c r="CA233" s="631"/>
      <c r="CB233" s="631"/>
      <c r="CC233" s="631"/>
      <c r="CD233" s="631"/>
      <c r="CE233" s="631"/>
      <c r="CF233" s="631"/>
      <c r="CG233" s="631"/>
      <c r="CH233" s="631"/>
      <c r="CI233" s="631"/>
      <c r="CJ233" s="631">
        <f t="shared" si="4"/>
        <v>1332000</v>
      </c>
      <c r="CK233" s="631"/>
      <c r="CL233" s="631"/>
      <c r="CM233" s="631"/>
      <c r="CN233" s="631"/>
      <c r="CO233" s="631"/>
      <c r="CP233" s="631"/>
      <c r="CQ233" s="631"/>
      <c r="CR233" s="631"/>
      <c r="CS233" s="631"/>
      <c r="CT233" s="631"/>
      <c r="CU233" s="631"/>
      <c r="CV233" s="631"/>
      <c r="CW233" s="631"/>
      <c r="CX233" s="631"/>
      <c r="CY233" s="631"/>
      <c r="CZ233" s="631"/>
      <c r="DA233" s="631"/>
    </row>
    <row r="234" spans="1:105" ht="12" customHeight="1">
      <c r="A234" s="635" t="s">
        <v>327</v>
      </c>
      <c r="B234" s="635"/>
      <c r="C234" s="635"/>
      <c r="D234" s="635"/>
      <c r="E234" s="635"/>
      <c r="F234" s="635"/>
      <c r="G234" s="635"/>
      <c r="H234" s="636" t="s">
        <v>559</v>
      </c>
      <c r="I234" s="637"/>
      <c r="J234" s="637"/>
      <c r="K234" s="637"/>
      <c r="L234" s="637"/>
      <c r="M234" s="637"/>
      <c r="N234" s="637"/>
      <c r="O234" s="637"/>
      <c r="P234" s="637"/>
      <c r="Q234" s="637"/>
      <c r="R234" s="637"/>
      <c r="S234" s="637"/>
      <c r="T234" s="637"/>
      <c r="U234" s="637"/>
      <c r="V234" s="637"/>
      <c r="W234" s="637"/>
      <c r="X234" s="637"/>
      <c r="Y234" s="637"/>
      <c r="Z234" s="637"/>
      <c r="AA234" s="637"/>
      <c r="AB234" s="637"/>
      <c r="AC234" s="637"/>
      <c r="AD234" s="637"/>
      <c r="AE234" s="637"/>
      <c r="AF234" s="637"/>
      <c r="AG234" s="637"/>
      <c r="AH234" s="637"/>
      <c r="AI234" s="637"/>
      <c r="AJ234" s="637"/>
      <c r="AK234" s="637"/>
      <c r="AL234" s="637"/>
      <c r="AM234" s="637"/>
      <c r="AN234" s="637"/>
      <c r="AO234" s="637"/>
      <c r="AP234" s="637"/>
      <c r="AQ234" s="637"/>
      <c r="AR234" s="637"/>
      <c r="AS234" s="637"/>
      <c r="AT234" s="637"/>
      <c r="AU234" s="637"/>
      <c r="AV234" s="637"/>
      <c r="AW234" s="637"/>
      <c r="AX234" s="637"/>
      <c r="AY234" s="637"/>
      <c r="AZ234" s="637"/>
      <c r="BA234" s="637"/>
      <c r="BB234" s="637"/>
      <c r="BC234" s="638"/>
      <c r="BD234" s="631">
        <v>230</v>
      </c>
      <c r="BE234" s="631"/>
      <c r="BF234" s="631"/>
      <c r="BG234" s="631"/>
      <c r="BH234" s="631"/>
      <c r="BI234" s="631"/>
      <c r="BJ234" s="631"/>
      <c r="BK234" s="631"/>
      <c r="BL234" s="631"/>
      <c r="BM234" s="631"/>
      <c r="BN234" s="631"/>
      <c r="BO234" s="631"/>
      <c r="BP234" s="631"/>
      <c r="BQ234" s="631"/>
      <c r="BR234" s="631"/>
      <c r="BS234" s="631"/>
      <c r="BT234" s="631">
        <v>262</v>
      </c>
      <c r="BU234" s="631"/>
      <c r="BV234" s="631"/>
      <c r="BW234" s="631"/>
      <c r="BX234" s="631"/>
      <c r="BY234" s="631"/>
      <c r="BZ234" s="631"/>
      <c r="CA234" s="631"/>
      <c r="CB234" s="631"/>
      <c r="CC234" s="631"/>
      <c r="CD234" s="631"/>
      <c r="CE234" s="631"/>
      <c r="CF234" s="631"/>
      <c r="CG234" s="631"/>
      <c r="CH234" s="631"/>
      <c r="CI234" s="631"/>
      <c r="CJ234" s="631">
        <f t="shared" si="4"/>
        <v>60260</v>
      </c>
      <c r="CK234" s="631"/>
      <c r="CL234" s="631"/>
      <c r="CM234" s="631"/>
      <c r="CN234" s="631"/>
      <c r="CO234" s="631"/>
      <c r="CP234" s="631"/>
      <c r="CQ234" s="631"/>
      <c r="CR234" s="631"/>
      <c r="CS234" s="631"/>
      <c r="CT234" s="631"/>
      <c r="CU234" s="631"/>
      <c r="CV234" s="631"/>
      <c r="CW234" s="631"/>
      <c r="CX234" s="631"/>
      <c r="CY234" s="631"/>
      <c r="CZ234" s="631"/>
      <c r="DA234" s="631"/>
    </row>
    <row r="235" spans="1:105" ht="12" customHeight="1">
      <c r="A235" s="635" t="s">
        <v>328</v>
      </c>
      <c r="B235" s="635"/>
      <c r="C235" s="635"/>
      <c r="D235" s="635"/>
      <c r="E235" s="635"/>
      <c r="F235" s="635"/>
      <c r="G235" s="635"/>
      <c r="H235" s="636" t="s">
        <v>495</v>
      </c>
      <c r="I235" s="637"/>
      <c r="J235" s="637"/>
      <c r="K235" s="637"/>
      <c r="L235" s="637"/>
      <c r="M235" s="637"/>
      <c r="N235" s="637"/>
      <c r="O235" s="637"/>
      <c r="P235" s="637"/>
      <c r="Q235" s="637"/>
      <c r="R235" s="637"/>
      <c r="S235" s="637"/>
      <c r="T235" s="637"/>
      <c r="U235" s="637"/>
      <c r="V235" s="637"/>
      <c r="W235" s="637"/>
      <c r="X235" s="637"/>
      <c r="Y235" s="637"/>
      <c r="Z235" s="637"/>
      <c r="AA235" s="637"/>
      <c r="AB235" s="637"/>
      <c r="AC235" s="637"/>
      <c r="AD235" s="637"/>
      <c r="AE235" s="637"/>
      <c r="AF235" s="637"/>
      <c r="AG235" s="637"/>
      <c r="AH235" s="637"/>
      <c r="AI235" s="637"/>
      <c r="AJ235" s="637"/>
      <c r="AK235" s="637"/>
      <c r="AL235" s="637"/>
      <c r="AM235" s="637"/>
      <c r="AN235" s="637"/>
      <c r="AO235" s="637"/>
      <c r="AP235" s="637"/>
      <c r="AQ235" s="637"/>
      <c r="AR235" s="637"/>
      <c r="AS235" s="637"/>
      <c r="AT235" s="637"/>
      <c r="AU235" s="637"/>
      <c r="AV235" s="637"/>
      <c r="AW235" s="637"/>
      <c r="AX235" s="637"/>
      <c r="AY235" s="637"/>
      <c r="AZ235" s="637"/>
      <c r="BA235" s="637"/>
      <c r="BB235" s="637"/>
      <c r="BC235" s="638"/>
      <c r="BD235" s="631">
        <v>85</v>
      </c>
      <c r="BE235" s="631"/>
      <c r="BF235" s="631"/>
      <c r="BG235" s="631"/>
      <c r="BH235" s="631"/>
      <c r="BI235" s="631"/>
      <c r="BJ235" s="631"/>
      <c r="BK235" s="631"/>
      <c r="BL235" s="631"/>
      <c r="BM235" s="631"/>
      <c r="BN235" s="631"/>
      <c r="BO235" s="631"/>
      <c r="BP235" s="631"/>
      <c r="BQ235" s="631"/>
      <c r="BR235" s="631"/>
      <c r="BS235" s="631"/>
      <c r="BT235" s="631">
        <v>1295</v>
      </c>
      <c r="BU235" s="631"/>
      <c r="BV235" s="631"/>
      <c r="BW235" s="631"/>
      <c r="BX235" s="631"/>
      <c r="BY235" s="631"/>
      <c r="BZ235" s="631"/>
      <c r="CA235" s="631"/>
      <c r="CB235" s="631"/>
      <c r="CC235" s="631"/>
      <c r="CD235" s="631"/>
      <c r="CE235" s="631"/>
      <c r="CF235" s="631"/>
      <c r="CG235" s="631"/>
      <c r="CH235" s="631"/>
      <c r="CI235" s="631"/>
      <c r="CJ235" s="631">
        <f t="shared" si="4"/>
        <v>110075</v>
      </c>
      <c r="CK235" s="631"/>
      <c r="CL235" s="631"/>
      <c r="CM235" s="631"/>
      <c r="CN235" s="631"/>
      <c r="CO235" s="631"/>
      <c r="CP235" s="631"/>
      <c r="CQ235" s="631"/>
      <c r="CR235" s="631"/>
      <c r="CS235" s="631"/>
      <c r="CT235" s="631"/>
      <c r="CU235" s="631"/>
      <c r="CV235" s="631"/>
      <c r="CW235" s="631"/>
      <c r="CX235" s="631"/>
      <c r="CY235" s="631"/>
      <c r="CZ235" s="631"/>
      <c r="DA235" s="631"/>
    </row>
    <row r="236" spans="1:105" ht="12" customHeight="1">
      <c r="A236" s="642" t="s">
        <v>329</v>
      </c>
      <c r="B236" s="643"/>
      <c r="C236" s="643"/>
      <c r="D236" s="643"/>
      <c r="E236" s="643"/>
      <c r="F236" s="643"/>
      <c r="G236" s="644"/>
      <c r="H236" s="636" t="s">
        <v>510</v>
      </c>
      <c r="I236" s="637"/>
      <c r="J236" s="637"/>
      <c r="K236" s="637"/>
      <c r="L236" s="637"/>
      <c r="M236" s="637"/>
      <c r="N236" s="637"/>
      <c r="O236" s="637"/>
      <c r="P236" s="637"/>
      <c r="Q236" s="637"/>
      <c r="R236" s="637"/>
      <c r="S236" s="637"/>
      <c r="T236" s="637"/>
      <c r="U236" s="637"/>
      <c r="V236" s="637"/>
      <c r="W236" s="637"/>
      <c r="X236" s="637"/>
      <c r="Y236" s="637"/>
      <c r="Z236" s="637"/>
      <c r="AA236" s="637"/>
      <c r="AB236" s="637"/>
      <c r="AC236" s="637"/>
      <c r="AD236" s="637"/>
      <c r="AE236" s="637"/>
      <c r="AF236" s="637"/>
      <c r="AG236" s="637"/>
      <c r="AH236" s="637"/>
      <c r="AI236" s="637"/>
      <c r="AJ236" s="637"/>
      <c r="AK236" s="637"/>
      <c r="AL236" s="637"/>
      <c r="AM236" s="637"/>
      <c r="AN236" s="637"/>
      <c r="AO236" s="637"/>
      <c r="AP236" s="637"/>
      <c r="AQ236" s="637"/>
      <c r="AR236" s="637"/>
      <c r="AS236" s="637"/>
      <c r="AT236" s="637"/>
      <c r="AU236" s="637"/>
      <c r="AV236" s="637"/>
      <c r="AW236" s="637"/>
      <c r="AX236" s="637"/>
      <c r="AY236" s="637"/>
      <c r="AZ236" s="637"/>
      <c r="BA236" s="637"/>
      <c r="BB236" s="637"/>
      <c r="BC236" s="638"/>
      <c r="BD236" s="645">
        <v>20</v>
      </c>
      <c r="BE236" s="646"/>
      <c r="BF236" s="646"/>
      <c r="BG236" s="646"/>
      <c r="BH236" s="646"/>
      <c r="BI236" s="646"/>
      <c r="BJ236" s="646"/>
      <c r="BK236" s="646"/>
      <c r="BL236" s="646"/>
      <c r="BM236" s="646"/>
      <c r="BN236" s="646"/>
      <c r="BO236" s="646"/>
      <c r="BP236" s="646"/>
      <c r="BQ236" s="646"/>
      <c r="BR236" s="646"/>
      <c r="BS236" s="647"/>
      <c r="BT236" s="645">
        <v>7250</v>
      </c>
      <c r="BU236" s="646"/>
      <c r="BV236" s="646"/>
      <c r="BW236" s="646"/>
      <c r="BX236" s="646"/>
      <c r="BY236" s="646"/>
      <c r="BZ236" s="646"/>
      <c r="CA236" s="646"/>
      <c r="CB236" s="646"/>
      <c r="CC236" s="646"/>
      <c r="CD236" s="646"/>
      <c r="CE236" s="646"/>
      <c r="CF236" s="646"/>
      <c r="CG236" s="646"/>
      <c r="CH236" s="646"/>
      <c r="CI236" s="647"/>
      <c r="CJ236" s="631">
        <f>BD236*BT236</f>
        <v>145000</v>
      </c>
      <c r="CK236" s="631"/>
      <c r="CL236" s="631"/>
      <c r="CM236" s="631"/>
      <c r="CN236" s="631"/>
      <c r="CO236" s="631"/>
      <c r="CP236" s="631"/>
      <c r="CQ236" s="631"/>
      <c r="CR236" s="631"/>
      <c r="CS236" s="631"/>
      <c r="CT236" s="631"/>
      <c r="CU236" s="631"/>
      <c r="CV236" s="631"/>
      <c r="CW236" s="631"/>
      <c r="CX236" s="631"/>
      <c r="CY236" s="631"/>
      <c r="CZ236" s="631"/>
      <c r="DA236" s="631"/>
    </row>
    <row r="237" spans="1:105" ht="12" customHeight="1">
      <c r="A237" s="635"/>
      <c r="B237" s="635"/>
      <c r="C237" s="635"/>
      <c r="D237" s="635"/>
      <c r="E237" s="635"/>
      <c r="F237" s="635"/>
      <c r="G237" s="635"/>
      <c r="H237" s="648" t="s">
        <v>233</v>
      </c>
      <c r="I237" s="649"/>
      <c r="J237" s="649"/>
      <c r="K237" s="649"/>
      <c r="L237" s="649"/>
      <c r="M237" s="649"/>
      <c r="N237" s="649"/>
      <c r="O237" s="649"/>
      <c r="P237" s="649"/>
      <c r="Q237" s="649"/>
      <c r="R237" s="649"/>
      <c r="S237" s="649"/>
      <c r="T237" s="649"/>
      <c r="U237" s="649"/>
      <c r="V237" s="649"/>
      <c r="W237" s="649"/>
      <c r="X237" s="649"/>
      <c r="Y237" s="649"/>
      <c r="Z237" s="649"/>
      <c r="AA237" s="649"/>
      <c r="AB237" s="649"/>
      <c r="AC237" s="649"/>
      <c r="AD237" s="649"/>
      <c r="AE237" s="649"/>
      <c r="AF237" s="649"/>
      <c r="AG237" s="649"/>
      <c r="AH237" s="649"/>
      <c r="AI237" s="649"/>
      <c r="AJ237" s="649"/>
      <c r="AK237" s="649"/>
      <c r="AL237" s="649"/>
      <c r="AM237" s="649"/>
      <c r="AN237" s="649"/>
      <c r="AO237" s="649"/>
      <c r="AP237" s="649"/>
      <c r="AQ237" s="649"/>
      <c r="AR237" s="649"/>
      <c r="AS237" s="649"/>
      <c r="AT237" s="649"/>
      <c r="AU237" s="649"/>
      <c r="AV237" s="649"/>
      <c r="AW237" s="649"/>
      <c r="AX237" s="649"/>
      <c r="AY237" s="649"/>
      <c r="AZ237" s="649"/>
      <c r="BA237" s="649"/>
      <c r="BB237" s="649"/>
      <c r="BC237" s="650"/>
      <c r="BD237" s="623"/>
      <c r="BE237" s="623"/>
      <c r="BF237" s="623"/>
      <c r="BG237" s="623"/>
      <c r="BH237" s="623"/>
      <c r="BI237" s="623"/>
      <c r="BJ237" s="623"/>
      <c r="BK237" s="623"/>
      <c r="BL237" s="623"/>
      <c r="BM237" s="623"/>
      <c r="BN237" s="623"/>
      <c r="BO237" s="623"/>
      <c r="BP237" s="623"/>
      <c r="BQ237" s="623"/>
      <c r="BR237" s="623"/>
      <c r="BS237" s="623"/>
      <c r="BT237" s="623" t="s">
        <v>234</v>
      </c>
      <c r="BU237" s="623"/>
      <c r="BV237" s="623"/>
      <c r="BW237" s="623"/>
      <c r="BX237" s="623"/>
      <c r="BY237" s="623"/>
      <c r="BZ237" s="623"/>
      <c r="CA237" s="623"/>
      <c r="CB237" s="623"/>
      <c r="CC237" s="623"/>
      <c r="CD237" s="623"/>
      <c r="CE237" s="623"/>
      <c r="CF237" s="623"/>
      <c r="CG237" s="623"/>
      <c r="CH237" s="623"/>
      <c r="CI237" s="623"/>
      <c r="CJ237" s="640">
        <f>SUM(CJ222:CJ236)</f>
        <v>3330000</v>
      </c>
      <c r="CK237" s="641"/>
      <c r="CL237" s="641"/>
      <c r="CM237" s="641"/>
      <c r="CN237" s="641"/>
      <c r="CO237" s="641"/>
      <c r="CP237" s="641"/>
      <c r="CQ237" s="641"/>
      <c r="CR237" s="641"/>
      <c r="CS237" s="641"/>
      <c r="CT237" s="641"/>
      <c r="CU237" s="641"/>
      <c r="CV237" s="641"/>
      <c r="CW237" s="641"/>
      <c r="CX237" s="641"/>
      <c r="CY237" s="641"/>
      <c r="CZ237" s="641"/>
      <c r="DA237" s="641"/>
    </row>
    <row r="238" spans="1:105" ht="12" customHeight="1">
      <c r="A238" s="103"/>
      <c r="B238" s="103"/>
      <c r="C238" s="103"/>
      <c r="D238" s="103"/>
      <c r="E238" s="103"/>
      <c r="F238" s="103"/>
      <c r="G238" s="103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  <c r="AS238" s="104"/>
      <c r="AT238" s="104"/>
      <c r="AU238" s="104"/>
      <c r="AV238" s="104"/>
      <c r="AW238" s="104"/>
      <c r="AX238" s="104"/>
      <c r="AY238" s="104"/>
      <c r="AZ238" s="104"/>
      <c r="BA238" s="104"/>
      <c r="BB238" s="104"/>
      <c r="BC238" s="104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6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</row>
    <row r="239" ht="12" customHeight="1"/>
    <row r="240" spans="1:105" ht="12" customHeight="1">
      <c r="A240" s="439" t="s">
        <v>560</v>
      </c>
      <c r="B240" s="439"/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  <c r="T240" s="439"/>
      <c r="U240" s="439"/>
      <c r="V240" s="439"/>
      <c r="W240" s="439"/>
      <c r="X240" s="439"/>
      <c r="Y240" s="439"/>
      <c r="Z240" s="439"/>
      <c r="AA240" s="439"/>
      <c r="AB240" s="439"/>
      <c r="AC240" s="439"/>
      <c r="AD240" s="439"/>
      <c r="AE240" s="439"/>
      <c r="AF240" s="439"/>
      <c r="AG240" s="439"/>
      <c r="AH240" s="439"/>
      <c r="AI240" s="439"/>
      <c r="AJ240" s="439"/>
      <c r="AK240" s="439"/>
      <c r="AL240" s="439"/>
      <c r="AM240" s="439"/>
      <c r="AN240" s="439"/>
      <c r="AO240" s="439"/>
      <c r="AP240" s="439"/>
      <c r="AQ240" s="439"/>
      <c r="AR240" s="439"/>
      <c r="AS240" s="439"/>
      <c r="AT240" s="439"/>
      <c r="AU240" s="439"/>
      <c r="AV240" s="439"/>
      <c r="AW240" s="439"/>
      <c r="AX240" s="439"/>
      <c r="AY240" s="439"/>
      <c r="AZ240" s="439"/>
      <c r="BA240" s="439"/>
      <c r="BB240" s="439"/>
      <c r="BC240" s="439"/>
      <c r="BD240" s="439"/>
      <c r="BE240" s="439"/>
      <c r="BF240" s="439"/>
      <c r="BG240" s="439"/>
      <c r="BH240" s="439"/>
      <c r="BI240" s="439"/>
      <c r="BJ240" s="439"/>
      <c r="BK240" s="439"/>
      <c r="BL240" s="439"/>
      <c r="BM240" s="439"/>
      <c r="BN240" s="439"/>
      <c r="BO240" s="439"/>
      <c r="BP240" s="439"/>
      <c r="BQ240" s="439"/>
      <c r="BR240" s="439"/>
      <c r="BS240" s="439"/>
      <c r="BT240" s="439"/>
      <c r="BU240" s="439"/>
      <c r="BV240" s="439"/>
      <c r="BW240" s="439"/>
      <c r="BX240" s="439"/>
      <c r="BY240" s="439"/>
      <c r="BZ240" s="439"/>
      <c r="CA240" s="439"/>
      <c r="CB240" s="439"/>
      <c r="CC240" s="439"/>
      <c r="CD240" s="439"/>
      <c r="CE240" s="439"/>
      <c r="CF240" s="439"/>
      <c r="CG240" s="439"/>
      <c r="CH240" s="439"/>
      <c r="CI240" s="439"/>
      <c r="CJ240" s="439"/>
      <c r="CK240" s="439"/>
      <c r="CL240" s="439"/>
      <c r="CM240" s="439"/>
      <c r="CN240" s="439"/>
      <c r="CO240" s="439"/>
      <c r="CP240" s="439"/>
      <c r="CQ240" s="439"/>
      <c r="CR240" s="439"/>
      <c r="CS240" s="439"/>
      <c r="CT240" s="439"/>
      <c r="CU240" s="439"/>
      <c r="CV240" s="439"/>
      <c r="CW240" s="439"/>
      <c r="CX240" s="439"/>
      <c r="CY240" s="439"/>
      <c r="CZ240" s="439"/>
      <c r="DA240" s="439"/>
    </row>
    <row r="241" ht="12" customHeight="1"/>
    <row r="242" spans="1:105" ht="12" customHeight="1">
      <c r="A242" s="419" t="s">
        <v>192</v>
      </c>
      <c r="B242" s="420"/>
      <c r="C242" s="420"/>
      <c r="D242" s="420"/>
      <c r="E242" s="420"/>
      <c r="F242" s="420"/>
      <c r="G242" s="421"/>
      <c r="H242" s="201" t="s">
        <v>273</v>
      </c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2"/>
      <c r="AT242" s="202"/>
      <c r="AU242" s="202"/>
      <c r="AV242" s="202"/>
      <c r="AW242" s="202"/>
      <c r="AX242" s="202"/>
      <c r="AY242" s="202"/>
      <c r="AZ242" s="202"/>
      <c r="BA242" s="202"/>
      <c r="BB242" s="202"/>
      <c r="BC242" s="203"/>
      <c r="BD242" s="419" t="s">
        <v>295</v>
      </c>
      <c r="BE242" s="420"/>
      <c r="BF242" s="420"/>
      <c r="BG242" s="420"/>
      <c r="BH242" s="420"/>
      <c r="BI242" s="420"/>
      <c r="BJ242" s="420"/>
      <c r="BK242" s="420"/>
      <c r="BL242" s="420"/>
      <c r="BM242" s="420"/>
      <c r="BN242" s="420"/>
      <c r="BO242" s="420"/>
      <c r="BP242" s="420"/>
      <c r="BQ242" s="420"/>
      <c r="BR242" s="420"/>
      <c r="BS242" s="421"/>
      <c r="BT242" s="419" t="s">
        <v>306</v>
      </c>
      <c r="BU242" s="420"/>
      <c r="BV242" s="420"/>
      <c r="BW242" s="420"/>
      <c r="BX242" s="420"/>
      <c r="BY242" s="420"/>
      <c r="BZ242" s="420"/>
      <c r="CA242" s="420"/>
      <c r="CB242" s="420"/>
      <c r="CC242" s="420"/>
      <c r="CD242" s="420"/>
      <c r="CE242" s="420"/>
      <c r="CF242" s="420"/>
      <c r="CG242" s="420"/>
      <c r="CH242" s="420"/>
      <c r="CI242" s="421"/>
      <c r="CJ242" s="419" t="s">
        <v>307</v>
      </c>
      <c r="CK242" s="420"/>
      <c r="CL242" s="420"/>
      <c r="CM242" s="420"/>
      <c r="CN242" s="420"/>
      <c r="CO242" s="420"/>
      <c r="CP242" s="420"/>
      <c r="CQ242" s="420"/>
      <c r="CR242" s="420"/>
      <c r="CS242" s="420"/>
      <c r="CT242" s="420"/>
      <c r="CU242" s="420"/>
      <c r="CV242" s="420"/>
      <c r="CW242" s="420"/>
      <c r="CX242" s="420"/>
      <c r="CY242" s="420"/>
      <c r="CZ242" s="420"/>
      <c r="DA242" s="421"/>
    </row>
    <row r="243" spans="1:105" ht="12" customHeight="1">
      <c r="A243" s="416"/>
      <c r="B243" s="416"/>
      <c r="C243" s="416"/>
      <c r="D243" s="416"/>
      <c r="E243" s="416"/>
      <c r="F243" s="416"/>
      <c r="G243" s="416"/>
      <c r="H243" s="196">
        <v>1</v>
      </c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197"/>
      <c r="AT243" s="197"/>
      <c r="AU243" s="197"/>
      <c r="AV243" s="197"/>
      <c r="AW243" s="197"/>
      <c r="AX243" s="197"/>
      <c r="AY243" s="197"/>
      <c r="AZ243" s="197"/>
      <c r="BA243" s="197"/>
      <c r="BB243" s="197"/>
      <c r="BC243" s="198"/>
      <c r="BD243" s="416">
        <v>2</v>
      </c>
      <c r="BE243" s="416"/>
      <c r="BF243" s="416"/>
      <c r="BG243" s="416"/>
      <c r="BH243" s="416"/>
      <c r="BI243" s="416"/>
      <c r="BJ243" s="416"/>
      <c r="BK243" s="416"/>
      <c r="BL243" s="416"/>
      <c r="BM243" s="416"/>
      <c r="BN243" s="416"/>
      <c r="BO243" s="416"/>
      <c r="BP243" s="416"/>
      <c r="BQ243" s="416"/>
      <c r="BR243" s="416"/>
      <c r="BS243" s="416"/>
      <c r="BT243" s="416">
        <v>3</v>
      </c>
      <c r="BU243" s="416"/>
      <c r="BV243" s="416"/>
      <c r="BW243" s="416"/>
      <c r="BX243" s="416"/>
      <c r="BY243" s="416"/>
      <c r="BZ243" s="416"/>
      <c r="CA243" s="416"/>
      <c r="CB243" s="416"/>
      <c r="CC243" s="416"/>
      <c r="CD243" s="416"/>
      <c r="CE243" s="416"/>
      <c r="CF243" s="416"/>
      <c r="CG243" s="416"/>
      <c r="CH243" s="416"/>
      <c r="CI243" s="416"/>
      <c r="CJ243" s="416">
        <v>4</v>
      </c>
      <c r="CK243" s="416"/>
      <c r="CL243" s="416"/>
      <c r="CM243" s="416"/>
      <c r="CN243" s="416"/>
      <c r="CO243" s="416"/>
      <c r="CP243" s="416"/>
      <c r="CQ243" s="416"/>
      <c r="CR243" s="416"/>
      <c r="CS243" s="416"/>
      <c r="CT243" s="416"/>
      <c r="CU243" s="416"/>
      <c r="CV243" s="416"/>
      <c r="CW243" s="416"/>
      <c r="CX243" s="416"/>
      <c r="CY243" s="416"/>
      <c r="CZ243" s="416"/>
      <c r="DA243" s="416"/>
    </row>
    <row r="244" spans="1:105" ht="12" customHeight="1">
      <c r="A244" s="184" t="s">
        <v>169</v>
      </c>
      <c r="B244" s="185"/>
      <c r="C244" s="185"/>
      <c r="D244" s="185"/>
      <c r="E244" s="185"/>
      <c r="F244" s="185"/>
      <c r="G244" s="186"/>
      <c r="H244" s="434" t="s">
        <v>512</v>
      </c>
      <c r="I244" s="435"/>
      <c r="J244" s="435"/>
      <c r="K244" s="435"/>
      <c r="L244" s="435"/>
      <c r="M244" s="435"/>
      <c r="N244" s="435"/>
      <c r="O244" s="435"/>
      <c r="P244" s="435"/>
      <c r="Q244" s="435"/>
      <c r="R244" s="435"/>
      <c r="S244" s="435"/>
      <c r="T244" s="435"/>
      <c r="U244" s="435"/>
      <c r="V244" s="435"/>
      <c r="W244" s="435"/>
      <c r="X244" s="435"/>
      <c r="Y244" s="435"/>
      <c r="Z244" s="435"/>
      <c r="AA244" s="435"/>
      <c r="AB244" s="435"/>
      <c r="AC244" s="435"/>
      <c r="AD244" s="435"/>
      <c r="AE244" s="435"/>
      <c r="AF244" s="435"/>
      <c r="AG244" s="435"/>
      <c r="AH244" s="435"/>
      <c r="AI244" s="435"/>
      <c r="AJ244" s="435"/>
      <c r="AK244" s="435"/>
      <c r="AL244" s="435"/>
      <c r="AM244" s="435"/>
      <c r="AN244" s="435"/>
      <c r="AO244" s="435"/>
      <c r="AP244" s="435"/>
      <c r="AQ244" s="435"/>
      <c r="AR244" s="435"/>
      <c r="AS244" s="435"/>
      <c r="AT244" s="435"/>
      <c r="AU244" s="435"/>
      <c r="AV244" s="435"/>
      <c r="AW244" s="435"/>
      <c r="AX244" s="435"/>
      <c r="AY244" s="435"/>
      <c r="AZ244" s="435"/>
      <c r="BA244" s="435"/>
      <c r="BB244" s="435"/>
      <c r="BC244" s="436"/>
      <c r="BD244" s="651">
        <v>100</v>
      </c>
      <c r="BE244" s="652"/>
      <c r="BF244" s="652"/>
      <c r="BG244" s="652"/>
      <c r="BH244" s="652"/>
      <c r="BI244" s="652"/>
      <c r="BJ244" s="652"/>
      <c r="BK244" s="652"/>
      <c r="BL244" s="652"/>
      <c r="BM244" s="652"/>
      <c r="BN244" s="652"/>
      <c r="BO244" s="652"/>
      <c r="BP244" s="652"/>
      <c r="BQ244" s="652"/>
      <c r="BR244" s="652"/>
      <c r="BS244" s="653"/>
      <c r="BT244" s="190">
        <v>2800</v>
      </c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2"/>
      <c r="CJ244" s="190">
        <f>BT244*BD244</f>
        <v>280000</v>
      </c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2"/>
    </row>
    <row r="245" spans="1:105" ht="12" customHeight="1">
      <c r="A245" s="184" t="s">
        <v>37</v>
      </c>
      <c r="B245" s="185"/>
      <c r="C245" s="185"/>
      <c r="D245" s="185"/>
      <c r="E245" s="185"/>
      <c r="F245" s="185"/>
      <c r="G245" s="186"/>
      <c r="H245" s="434" t="s">
        <v>514</v>
      </c>
      <c r="I245" s="435"/>
      <c r="J245" s="435"/>
      <c r="K245" s="435"/>
      <c r="L245" s="435"/>
      <c r="M245" s="435"/>
      <c r="N245" s="435"/>
      <c r="O245" s="435"/>
      <c r="P245" s="435"/>
      <c r="Q245" s="435"/>
      <c r="R245" s="435"/>
      <c r="S245" s="435"/>
      <c r="T245" s="435"/>
      <c r="U245" s="435"/>
      <c r="V245" s="435"/>
      <c r="W245" s="435"/>
      <c r="X245" s="435"/>
      <c r="Y245" s="435"/>
      <c r="Z245" s="435"/>
      <c r="AA245" s="435"/>
      <c r="AB245" s="435"/>
      <c r="AC245" s="435"/>
      <c r="AD245" s="435"/>
      <c r="AE245" s="435"/>
      <c r="AF245" s="435"/>
      <c r="AG245" s="435"/>
      <c r="AH245" s="435"/>
      <c r="AI245" s="435"/>
      <c r="AJ245" s="435"/>
      <c r="AK245" s="435"/>
      <c r="AL245" s="435"/>
      <c r="AM245" s="435"/>
      <c r="AN245" s="435"/>
      <c r="AO245" s="435"/>
      <c r="AP245" s="435"/>
      <c r="AQ245" s="435"/>
      <c r="AR245" s="435"/>
      <c r="AS245" s="435"/>
      <c r="AT245" s="435"/>
      <c r="AU245" s="435"/>
      <c r="AV245" s="435"/>
      <c r="AW245" s="435"/>
      <c r="AX245" s="435"/>
      <c r="AY245" s="435"/>
      <c r="AZ245" s="435"/>
      <c r="BA245" s="435"/>
      <c r="BB245" s="435"/>
      <c r="BC245" s="436"/>
      <c r="BD245" s="651">
        <v>100</v>
      </c>
      <c r="BE245" s="652"/>
      <c r="BF245" s="652"/>
      <c r="BG245" s="652"/>
      <c r="BH245" s="652"/>
      <c r="BI245" s="652"/>
      <c r="BJ245" s="652"/>
      <c r="BK245" s="652"/>
      <c r="BL245" s="652"/>
      <c r="BM245" s="652"/>
      <c r="BN245" s="652"/>
      <c r="BO245" s="652"/>
      <c r="BP245" s="652"/>
      <c r="BQ245" s="652"/>
      <c r="BR245" s="652"/>
      <c r="BS245" s="653"/>
      <c r="BT245" s="190">
        <v>3000</v>
      </c>
      <c r="BU245" s="191"/>
      <c r="BV245" s="191"/>
      <c r="BW245" s="191"/>
      <c r="BX245" s="191"/>
      <c r="BY245" s="191"/>
      <c r="BZ245" s="191"/>
      <c r="CA245" s="191"/>
      <c r="CB245" s="191"/>
      <c r="CC245" s="191"/>
      <c r="CD245" s="191"/>
      <c r="CE245" s="191"/>
      <c r="CF245" s="191"/>
      <c r="CG245" s="191"/>
      <c r="CH245" s="191"/>
      <c r="CI245" s="192"/>
      <c r="CJ245" s="190">
        <f>BT245*BD245</f>
        <v>300000</v>
      </c>
      <c r="CK245" s="191"/>
      <c r="CL245" s="191"/>
      <c r="CM245" s="191"/>
      <c r="CN245" s="191"/>
      <c r="CO245" s="191"/>
      <c r="CP245" s="191"/>
      <c r="CQ245" s="191"/>
      <c r="CR245" s="191"/>
      <c r="CS245" s="191"/>
      <c r="CT245" s="191"/>
      <c r="CU245" s="191"/>
      <c r="CV245" s="191"/>
      <c r="CW245" s="191"/>
      <c r="CX245" s="191"/>
      <c r="CY245" s="191"/>
      <c r="CZ245" s="191"/>
      <c r="DA245" s="192"/>
    </row>
    <row r="246" spans="1:105" ht="12" customHeight="1">
      <c r="A246" s="407" t="s">
        <v>38</v>
      </c>
      <c r="B246" s="407"/>
      <c r="C246" s="407"/>
      <c r="D246" s="407"/>
      <c r="E246" s="407"/>
      <c r="F246" s="407"/>
      <c r="G246" s="407"/>
      <c r="H246" s="434" t="s">
        <v>515</v>
      </c>
      <c r="I246" s="435"/>
      <c r="J246" s="435"/>
      <c r="K246" s="435"/>
      <c r="L246" s="435"/>
      <c r="M246" s="435"/>
      <c r="N246" s="435"/>
      <c r="O246" s="435"/>
      <c r="P246" s="435"/>
      <c r="Q246" s="435"/>
      <c r="R246" s="435"/>
      <c r="S246" s="435"/>
      <c r="T246" s="435"/>
      <c r="U246" s="435"/>
      <c r="V246" s="435"/>
      <c r="W246" s="435"/>
      <c r="X246" s="435"/>
      <c r="Y246" s="435"/>
      <c r="Z246" s="435"/>
      <c r="AA246" s="435"/>
      <c r="AB246" s="435"/>
      <c r="AC246" s="435"/>
      <c r="AD246" s="435"/>
      <c r="AE246" s="435"/>
      <c r="AF246" s="435"/>
      <c r="AG246" s="435"/>
      <c r="AH246" s="435"/>
      <c r="AI246" s="435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435"/>
      <c r="AV246" s="435"/>
      <c r="AW246" s="435"/>
      <c r="AX246" s="435"/>
      <c r="AY246" s="435"/>
      <c r="AZ246" s="435"/>
      <c r="BA246" s="435"/>
      <c r="BB246" s="435"/>
      <c r="BC246" s="436"/>
      <c r="BD246" s="409">
        <v>120</v>
      </c>
      <c r="BE246" s="409"/>
      <c r="BF246" s="409"/>
      <c r="BG246" s="409"/>
      <c r="BH246" s="409"/>
      <c r="BI246" s="409"/>
      <c r="BJ246" s="409"/>
      <c r="BK246" s="409"/>
      <c r="BL246" s="409"/>
      <c r="BM246" s="409"/>
      <c r="BN246" s="409"/>
      <c r="BO246" s="409"/>
      <c r="BP246" s="409"/>
      <c r="BQ246" s="409"/>
      <c r="BR246" s="409"/>
      <c r="BS246" s="409"/>
      <c r="BT246" s="471">
        <v>3500</v>
      </c>
      <c r="BU246" s="471"/>
      <c r="BV246" s="471"/>
      <c r="BW246" s="471"/>
      <c r="BX246" s="471"/>
      <c r="BY246" s="471"/>
      <c r="BZ246" s="471"/>
      <c r="CA246" s="471"/>
      <c r="CB246" s="471"/>
      <c r="CC246" s="471"/>
      <c r="CD246" s="471"/>
      <c r="CE246" s="471"/>
      <c r="CF246" s="471"/>
      <c r="CG246" s="471"/>
      <c r="CH246" s="471"/>
      <c r="CI246" s="471"/>
      <c r="CJ246" s="471">
        <f>BT246*BD246</f>
        <v>420000</v>
      </c>
      <c r="CK246" s="471"/>
      <c r="CL246" s="471"/>
      <c r="CM246" s="471"/>
      <c r="CN246" s="471"/>
      <c r="CO246" s="471"/>
      <c r="CP246" s="471"/>
      <c r="CQ246" s="471"/>
      <c r="CR246" s="471"/>
      <c r="CS246" s="471"/>
      <c r="CT246" s="471"/>
      <c r="CU246" s="471"/>
      <c r="CV246" s="471"/>
      <c r="CW246" s="471"/>
      <c r="CX246" s="471"/>
      <c r="CY246" s="471"/>
      <c r="CZ246" s="471"/>
      <c r="DA246" s="471"/>
    </row>
    <row r="247" spans="1:105" ht="12" customHeight="1">
      <c r="A247" s="407"/>
      <c r="B247" s="407"/>
      <c r="C247" s="407"/>
      <c r="D247" s="407"/>
      <c r="E247" s="407"/>
      <c r="F247" s="407"/>
      <c r="G247" s="407"/>
      <c r="H247" s="410" t="s">
        <v>233</v>
      </c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411"/>
      <c r="W247" s="411"/>
      <c r="X247" s="411"/>
      <c r="Y247" s="411"/>
      <c r="Z247" s="411"/>
      <c r="AA247" s="411"/>
      <c r="AB247" s="411"/>
      <c r="AC247" s="411"/>
      <c r="AD247" s="411"/>
      <c r="AE247" s="411"/>
      <c r="AF247" s="411"/>
      <c r="AG247" s="411"/>
      <c r="AH247" s="411"/>
      <c r="AI247" s="411"/>
      <c r="AJ247" s="411"/>
      <c r="AK247" s="411"/>
      <c r="AL247" s="411"/>
      <c r="AM247" s="411"/>
      <c r="AN247" s="411"/>
      <c r="AO247" s="411"/>
      <c r="AP247" s="411"/>
      <c r="AQ247" s="411"/>
      <c r="AR247" s="411"/>
      <c r="AS247" s="411"/>
      <c r="AT247" s="411"/>
      <c r="AU247" s="411"/>
      <c r="AV247" s="411"/>
      <c r="AW247" s="411"/>
      <c r="AX247" s="411"/>
      <c r="AY247" s="411"/>
      <c r="AZ247" s="411"/>
      <c r="BA247" s="411"/>
      <c r="BB247" s="411"/>
      <c r="BC247" s="412"/>
      <c r="BD247" s="409"/>
      <c r="BE247" s="409"/>
      <c r="BF247" s="409"/>
      <c r="BG247" s="409"/>
      <c r="BH247" s="409"/>
      <c r="BI247" s="409"/>
      <c r="BJ247" s="409"/>
      <c r="BK247" s="409"/>
      <c r="BL247" s="409"/>
      <c r="BM247" s="409"/>
      <c r="BN247" s="409"/>
      <c r="BO247" s="409"/>
      <c r="BP247" s="409"/>
      <c r="BQ247" s="409"/>
      <c r="BR247" s="409"/>
      <c r="BS247" s="409"/>
      <c r="BT247" s="409" t="s">
        <v>234</v>
      </c>
      <c r="BU247" s="409"/>
      <c r="BV247" s="409"/>
      <c r="BW247" s="409"/>
      <c r="BX247" s="409"/>
      <c r="BY247" s="409"/>
      <c r="BZ247" s="409"/>
      <c r="CA247" s="409"/>
      <c r="CB247" s="409"/>
      <c r="CC247" s="409"/>
      <c r="CD247" s="409"/>
      <c r="CE247" s="409"/>
      <c r="CF247" s="409"/>
      <c r="CG247" s="409"/>
      <c r="CH247" s="409"/>
      <c r="CI247" s="409"/>
      <c r="CJ247" s="490">
        <f>SUM(CJ244:CJ246)</f>
        <v>1000000</v>
      </c>
      <c r="CK247" s="413"/>
      <c r="CL247" s="413"/>
      <c r="CM247" s="413"/>
      <c r="CN247" s="413"/>
      <c r="CO247" s="413"/>
      <c r="CP247" s="413"/>
      <c r="CQ247" s="413"/>
      <c r="CR247" s="413"/>
      <c r="CS247" s="413"/>
      <c r="CT247" s="413"/>
      <c r="CU247" s="413"/>
      <c r="CV247" s="413"/>
      <c r="CW247" s="413"/>
      <c r="CX247" s="413"/>
      <c r="CY247" s="413"/>
      <c r="CZ247" s="413"/>
      <c r="DA247" s="413"/>
    </row>
    <row r="248" ht="12" customHeight="1"/>
    <row r="249" ht="12" customHeight="1"/>
    <row r="250" ht="12" customHeight="1">
      <c r="GB250" s="113"/>
    </row>
    <row r="251" ht="12" customHeight="1"/>
    <row r="252" ht="12" customHeight="1"/>
    <row r="253" ht="12" customHeight="1"/>
    <row r="254" ht="12" customHeight="1"/>
    <row r="255" ht="12" customHeight="1">
      <c r="GB255" s="113"/>
    </row>
  </sheetData>
  <sheetProtection/>
  <mergeCells count="927">
    <mergeCell ref="A247:G247"/>
    <mergeCell ref="H247:BC247"/>
    <mergeCell ref="BD247:BS247"/>
    <mergeCell ref="BT247:CI247"/>
    <mergeCell ref="CJ247:DA247"/>
    <mergeCell ref="A245:G245"/>
    <mergeCell ref="H245:BC245"/>
    <mergeCell ref="BD245:BS245"/>
    <mergeCell ref="BT245:CI245"/>
    <mergeCell ref="CJ245:DA245"/>
    <mergeCell ref="A246:G246"/>
    <mergeCell ref="H246:BC246"/>
    <mergeCell ref="BD246:BS246"/>
    <mergeCell ref="BT246:CI246"/>
    <mergeCell ref="CJ246:DA246"/>
    <mergeCell ref="A243:G243"/>
    <mergeCell ref="H243:BC243"/>
    <mergeCell ref="BD243:BS243"/>
    <mergeCell ref="BT243:CI243"/>
    <mergeCell ref="CJ243:DA243"/>
    <mergeCell ref="A244:G244"/>
    <mergeCell ref="H244:BC244"/>
    <mergeCell ref="BD244:BS244"/>
    <mergeCell ref="BT244:CI244"/>
    <mergeCell ref="CJ244:DA244"/>
    <mergeCell ref="A240:DA240"/>
    <mergeCell ref="A242:G242"/>
    <mergeCell ref="H242:BC242"/>
    <mergeCell ref="BD242:BS242"/>
    <mergeCell ref="BT242:CI242"/>
    <mergeCell ref="CJ242:DA242"/>
    <mergeCell ref="A236:G236"/>
    <mergeCell ref="H236:BC236"/>
    <mergeCell ref="BD236:BS236"/>
    <mergeCell ref="BT236:CI236"/>
    <mergeCell ref="CJ236:DA236"/>
    <mergeCell ref="A237:G237"/>
    <mergeCell ref="H237:BC237"/>
    <mergeCell ref="BD237:BS237"/>
    <mergeCell ref="BT237:CI237"/>
    <mergeCell ref="CJ237:DA237"/>
    <mergeCell ref="A234:G234"/>
    <mergeCell ref="H234:BC234"/>
    <mergeCell ref="BD234:BS234"/>
    <mergeCell ref="BT234:CI234"/>
    <mergeCell ref="CJ234:DA234"/>
    <mergeCell ref="A235:G235"/>
    <mergeCell ref="H235:BC235"/>
    <mergeCell ref="BD235:BS235"/>
    <mergeCell ref="BT235:CI235"/>
    <mergeCell ref="CJ235:DA235"/>
    <mergeCell ref="A232:G232"/>
    <mergeCell ref="H232:BC232"/>
    <mergeCell ref="BD232:BS232"/>
    <mergeCell ref="BT232:CI232"/>
    <mergeCell ref="CJ232:DA232"/>
    <mergeCell ref="A233:G233"/>
    <mergeCell ref="H233:BC233"/>
    <mergeCell ref="BD233:BS233"/>
    <mergeCell ref="BT233:CI233"/>
    <mergeCell ref="CJ233:DA233"/>
    <mergeCell ref="A230:G230"/>
    <mergeCell ref="H230:BC230"/>
    <mergeCell ref="BD230:BS230"/>
    <mergeCell ref="BT230:CI230"/>
    <mergeCell ref="CJ230:DA230"/>
    <mergeCell ref="A231:G231"/>
    <mergeCell ref="H231:BC231"/>
    <mergeCell ref="BD231:BS231"/>
    <mergeCell ref="BT231:CI231"/>
    <mergeCell ref="CJ231:DA231"/>
    <mergeCell ref="A228:G228"/>
    <mergeCell ref="H228:BC228"/>
    <mergeCell ref="BD228:BS228"/>
    <mergeCell ref="BT228:CI228"/>
    <mergeCell ref="CJ228:DA228"/>
    <mergeCell ref="A229:G229"/>
    <mergeCell ref="H229:BC229"/>
    <mergeCell ref="BD229:BS229"/>
    <mergeCell ref="BT229:CI229"/>
    <mergeCell ref="CJ229:DA229"/>
    <mergeCell ref="A226:G226"/>
    <mergeCell ref="H226:BC226"/>
    <mergeCell ref="BD226:BS226"/>
    <mergeCell ref="BT226:CI226"/>
    <mergeCell ref="CJ226:DA226"/>
    <mergeCell ref="A227:G227"/>
    <mergeCell ref="H227:BC227"/>
    <mergeCell ref="BD227:BS227"/>
    <mergeCell ref="BT227:CI227"/>
    <mergeCell ref="CJ227:DA227"/>
    <mergeCell ref="A224:G224"/>
    <mergeCell ref="H224:BC224"/>
    <mergeCell ref="BD224:BS224"/>
    <mergeCell ref="BT224:CI224"/>
    <mergeCell ref="CJ224:DA224"/>
    <mergeCell ref="A225:G225"/>
    <mergeCell ref="H225:BC225"/>
    <mergeCell ref="BD225:BS225"/>
    <mergeCell ref="BT225:CI225"/>
    <mergeCell ref="CJ225:DA225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17:DA217"/>
    <mergeCell ref="A219:G219"/>
    <mergeCell ref="H219:BC219"/>
    <mergeCell ref="BD219:BS219"/>
    <mergeCell ref="BT219:CI219"/>
    <mergeCell ref="CJ219:DA219"/>
    <mergeCell ref="A212:G212"/>
    <mergeCell ref="H212:BS212"/>
    <mergeCell ref="BT212:CI212"/>
    <mergeCell ref="CJ212:DA212"/>
    <mergeCell ref="A213:G213"/>
    <mergeCell ref="H213:BS213"/>
    <mergeCell ref="BT213:CI213"/>
    <mergeCell ref="CJ213:DA213"/>
    <mergeCell ref="A210:G210"/>
    <mergeCell ref="H210:BS210"/>
    <mergeCell ref="BT210:CI210"/>
    <mergeCell ref="CJ210:DA210"/>
    <mergeCell ref="A211:G211"/>
    <mergeCell ref="H211:BS211"/>
    <mergeCell ref="BT211:CI211"/>
    <mergeCell ref="CJ211:DA211"/>
    <mergeCell ref="A208:G208"/>
    <mergeCell ref="H208:BS208"/>
    <mergeCell ref="BT208:CI208"/>
    <mergeCell ref="CJ208:DA208"/>
    <mergeCell ref="A209:G209"/>
    <mergeCell ref="H209:BS209"/>
    <mergeCell ref="BT209:CI209"/>
    <mergeCell ref="CJ209:DA209"/>
    <mergeCell ref="A206:G206"/>
    <mergeCell ref="H206:BS206"/>
    <mergeCell ref="BT206:CI206"/>
    <mergeCell ref="CJ206:DA206"/>
    <mergeCell ref="A207:G207"/>
    <mergeCell ref="H207:BS207"/>
    <mergeCell ref="BT207:CI207"/>
    <mergeCell ref="CJ207:DA207"/>
    <mergeCell ref="A204:G204"/>
    <mergeCell ref="H204:BS204"/>
    <mergeCell ref="BT204:CI204"/>
    <mergeCell ref="CJ204:DA204"/>
    <mergeCell ref="A205:G205"/>
    <mergeCell ref="H205:BS205"/>
    <mergeCell ref="BT205:CI205"/>
    <mergeCell ref="CJ205:DA205"/>
    <mergeCell ref="A202:G202"/>
    <mergeCell ref="H202:BS202"/>
    <mergeCell ref="BT202:CI202"/>
    <mergeCell ref="CJ202:DA202"/>
    <mergeCell ref="A203:G203"/>
    <mergeCell ref="H203:BS203"/>
    <mergeCell ref="BT203:CI203"/>
    <mergeCell ref="CJ203:DA203"/>
    <mergeCell ref="A200:G200"/>
    <mergeCell ref="H200:BS200"/>
    <mergeCell ref="BT200:CI200"/>
    <mergeCell ref="CJ200:DA200"/>
    <mergeCell ref="A201:G201"/>
    <mergeCell ref="H201:BS201"/>
    <mergeCell ref="BT201:CI201"/>
    <mergeCell ref="CJ201:DA201"/>
    <mergeCell ref="A198:G198"/>
    <mergeCell ref="H198:BS198"/>
    <mergeCell ref="BT198:CI198"/>
    <mergeCell ref="CJ198:DA198"/>
    <mergeCell ref="A199:G199"/>
    <mergeCell ref="H199:BS199"/>
    <mergeCell ref="BT199:CI199"/>
    <mergeCell ref="CJ199:DA199"/>
    <mergeCell ref="A196:G196"/>
    <mergeCell ref="H196:BS196"/>
    <mergeCell ref="BT196:CI196"/>
    <mergeCell ref="CJ196:DA196"/>
    <mergeCell ref="A197:G197"/>
    <mergeCell ref="H197:BS197"/>
    <mergeCell ref="BT197:CI197"/>
    <mergeCell ref="CJ197:DA197"/>
    <mergeCell ref="A194:G194"/>
    <mergeCell ref="H194:BS194"/>
    <mergeCell ref="BT194:CI194"/>
    <mergeCell ref="CJ194:DA194"/>
    <mergeCell ref="A195:G195"/>
    <mergeCell ref="H195:BS195"/>
    <mergeCell ref="BT195:CI195"/>
    <mergeCell ref="CJ195:DA195"/>
    <mergeCell ref="A192:G192"/>
    <mergeCell ref="H192:BS192"/>
    <mergeCell ref="BT192:CI192"/>
    <mergeCell ref="CJ192:DA192"/>
    <mergeCell ref="A193:G193"/>
    <mergeCell ref="H193:BS193"/>
    <mergeCell ref="BT193:CI193"/>
    <mergeCell ref="CJ193:DA193"/>
    <mergeCell ref="A190:G190"/>
    <mergeCell ref="H190:BS190"/>
    <mergeCell ref="BT190:CI190"/>
    <mergeCell ref="CJ190:DA190"/>
    <mergeCell ref="A191:G191"/>
    <mergeCell ref="H191:BS191"/>
    <mergeCell ref="BT191:CI191"/>
    <mergeCell ref="CJ191:DA191"/>
    <mergeCell ref="A186:DA186"/>
    <mergeCell ref="A188:G188"/>
    <mergeCell ref="H188:BS188"/>
    <mergeCell ref="BT188:CI188"/>
    <mergeCell ref="CJ188:DA188"/>
    <mergeCell ref="A189:G189"/>
    <mergeCell ref="H189:BS189"/>
    <mergeCell ref="BT189:CI189"/>
    <mergeCell ref="CJ189:DA189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9:G179"/>
    <mergeCell ref="H179:BC179"/>
    <mergeCell ref="BD179:BS179"/>
    <mergeCell ref="BT179:CI179"/>
    <mergeCell ref="CJ179:DA179"/>
    <mergeCell ref="A180:G180"/>
    <mergeCell ref="H180:BC180"/>
    <mergeCell ref="BD180:BS180"/>
    <mergeCell ref="BT180:CI180"/>
    <mergeCell ref="CJ180:DA180"/>
    <mergeCell ref="A177:G177"/>
    <mergeCell ref="H177:BC177"/>
    <mergeCell ref="BD177:BS177"/>
    <mergeCell ref="BT177:CI177"/>
    <mergeCell ref="CJ177:DA177"/>
    <mergeCell ref="A178:G178"/>
    <mergeCell ref="H178:BC178"/>
    <mergeCell ref="BD178:BS178"/>
    <mergeCell ref="BT178:CI178"/>
    <mergeCell ref="CJ178:DA178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2:DA172"/>
    <mergeCell ref="A174:G174"/>
    <mergeCell ref="H174:BC174"/>
    <mergeCell ref="BD174:BS174"/>
    <mergeCell ref="BT174:CI174"/>
    <mergeCell ref="CJ174:DA174"/>
    <mergeCell ref="A169:G169"/>
    <mergeCell ref="H169:BC169"/>
    <mergeCell ref="BD169:BS169"/>
    <mergeCell ref="BT169:CI169"/>
    <mergeCell ref="CJ169:DA169"/>
    <mergeCell ref="A170:G170"/>
    <mergeCell ref="H170:BC170"/>
    <mergeCell ref="BD170:BS170"/>
    <mergeCell ref="BT170:CI170"/>
    <mergeCell ref="CJ170:DA170"/>
    <mergeCell ref="A167:G167"/>
    <mergeCell ref="H167:BC167"/>
    <mergeCell ref="BD167:BS167"/>
    <mergeCell ref="BT167:CI167"/>
    <mergeCell ref="CJ167:DA167"/>
    <mergeCell ref="A168:G168"/>
    <mergeCell ref="H168:BC168"/>
    <mergeCell ref="BD168:BS168"/>
    <mergeCell ref="BT168:CI168"/>
    <mergeCell ref="CJ168:DA168"/>
    <mergeCell ref="A164:DA164"/>
    <mergeCell ref="A166:G166"/>
    <mergeCell ref="H166:BC166"/>
    <mergeCell ref="BD166:BS166"/>
    <mergeCell ref="BT166:CI166"/>
    <mergeCell ref="CJ166:DA166"/>
    <mergeCell ref="A162:G162"/>
    <mergeCell ref="H162:AO162"/>
    <mergeCell ref="AP162:BE162"/>
    <mergeCell ref="BF162:BU162"/>
    <mergeCell ref="BV162:CK162"/>
    <mergeCell ref="CL162:DA162"/>
    <mergeCell ref="A161:G161"/>
    <mergeCell ref="H161:AO161"/>
    <mergeCell ref="AP161:BE161"/>
    <mergeCell ref="BF161:BU161"/>
    <mergeCell ref="BV161:CK161"/>
    <mergeCell ref="CL161:DA161"/>
    <mergeCell ref="A160:G160"/>
    <mergeCell ref="H160:AO160"/>
    <mergeCell ref="AP160:BE160"/>
    <mergeCell ref="BF160:BU160"/>
    <mergeCell ref="BV160:CK160"/>
    <mergeCell ref="CL160:DA160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56:G156"/>
    <mergeCell ref="H156:AO156"/>
    <mergeCell ref="AP156:BE156"/>
    <mergeCell ref="BF156:BU156"/>
    <mergeCell ref="BV156:CK156"/>
    <mergeCell ref="CL156:DA156"/>
    <mergeCell ref="A155:G155"/>
    <mergeCell ref="H155:AO155"/>
    <mergeCell ref="AP155:BE155"/>
    <mergeCell ref="BF155:BU155"/>
    <mergeCell ref="BV155:CK155"/>
    <mergeCell ref="CL155:DA155"/>
    <mergeCell ref="A154:G154"/>
    <mergeCell ref="H154:AO154"/>
    <mergeCell ref="AP154:BE154"/>
    <mergeCell ref="BF154:BU154"/>
    <mergeCell ref="BV154:CK154"/>
    <mergeCell ref="CL154:DA154"/>
    <mergeCell ref="A151:DA151"/>
    <mergeCell ref="A153:G153"/>
    <mergeCell ref="H153:AO153"/>
    <mergeCell ref="AP153:BE153"/>
    <mergeCell ref="BF153:BU153"/>
    <mergeCell ref="BV153:CK153"/>
    <mergeCell ref="CL153:DA153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3:DA143"/>
    <mergeCell ref="A145:G145"/>
    <mergeCell ref="H145:BC145"/>
    <mergeCell ref="BD145:BS145"/>
    <mergeCell ref="BT145:CI145"/>
    <mergeCell ref="CJ145:DA145"/>
    <mergeCell ref="A141:G141"/>
    <mergeCell ref="H141:AO141"/>
    <mergeCell ref="AP141:BE141"/>
    <mergeCell ref="BF141:BU141"/>
    <mergeCell ref="BV141:CK141"/>
    <mergeCell ref="CL141:DA141"/>
    <mergeCell ref="A140:G140"/>
    <mergeCell ref="H140:AO140"/>
    <mergeCell ref="AP140:BE140"/>
    <mergeCell ref="BF140:BU140"/>
    <mergeCell ref="BV140:CK140"/>
    <mergeCell ref="CL140:DA140"/>
    <mergeCell ref="IR138:IV138"/>
    <mergeCell ref="A139:G139"/>
    <mergeCell ref="H139:AO139"/>
    <mergeCell ref="AP139:BE139"/>
    <mergeCell ref="BF139:BU139"/>
    <mergeCell ref="BV139:CK139"/>
    <mergeCell ref="CL139:DA139"/>
    <mergeCell ref="A138:G138"/>
    <mergeCell ref="H138:AO138"/>
    <mergeCell ref="AP138:BE138"/>
    <mergeCell ref="BF138:BU138"/>
    <mergeCell ref="BV138:CK138"/>
    <mergeCell ref="CL138:DA138"/>
    <mergeCell ref="A137:G137"/>
    <mergeCell ref="H137:AO137"/>
    <mergeCell ref="AP137:BE137"/>
    <mergeCell ref="BF137:BU137"/>
    <mergeCell ref="BV137:CK137"/>
    <mergeCell ref="CL137:DA137"/>
    <mergeCell ref="CL135:DA135"/>
    <mergeCell ref="A136:G136"/>
    <mergeCell ref="H136:AO136"/>
    <mergeCell ref="AP136:BE136"/>
    <mergeCell ref="BF136:BU136"/>
    <mergeCell ref="BV136:CK136"/>
    <mergeCell ref="CL136:DA136"/>
    <mergeCell ref="A127:DA127"/>
    <mergeCell ref="X129:DA129"/>
    <mergeCell ref="A131:AO131"/>
    <mergeCell ref="AP131:DA131"/>
    <mergeCell ref="A133:DA133"/>
    <mergeCell ref="A135:G135"/>
    <mergeCell ref="H135:AO135"/>
    <mergeCell ref="AP135:BE135"/>
    <mergeCell ref="BF135:BU135"/>
    <mergeCell ref="BV135:CK135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15:DA115"/>
    <mergeCell ref="X117:DA117"/>
    <mergeCell ref="A119:AO119"/>
    <mergeCell ref="AP119:DA119"/>
    <mergeCell ref="A121:G121"/>
    <mergeCell ref="H121:BC121"/>
    <mergeCell ref="BD121:BS121"/>
    <mergeCell ref="BT121:CI121"/>
    <mergeCell ref="CJ121:DA121"/>
    <mergeCell ref="A112:G112"/>
    <mergeCell ref="H112:BC112"/>
    <mergeCell ref="BD112:BS112"/>
    <mergeCell ref="BT112:CI112"/>
    <mergeCell ref="CJ112:DA112"/>
    <mergeCell ref="A113:G113"/>
    <mergeCell ref="H113:BC113"/>
    <mergeCell ref="BD113:BS113"/>
    <mergeCell ref="BT113:CI113"/>
    <mergeCell ref="CJ113:DA113"/>
    <mergeCell ref="A110:G110"/>
    <mergeCell ref="H110:BC110"/>
    <mergeCell ref="BD110:BS110"/>
    <mergeCell ref="BT110:CI110"/>
    <mergeCell ref="CJ110:DA110"/>
    <mergeCell ref="A111:G111"/>
    <mergeCell ref="H111:BC111"/>
    <mergeCell ref="BD111:BS111"/>
    <mergeCell ref="BT111:CI111"/>
    <mergeCell ref="CJ111:DA111"/>
    <mergeCell ref="A103:DA103"/>
    <mergeCell ref="X105:DA105"/>
    <mergeCell ref="A107:AO107"/>
    <mergeCell ref="AP107:DA107"/>
    <mergeCell ref="A109:G109"/>
    <mergeCell ref="H109:BC109"/>
    <mergeCell ref="BD109:BS109"/>
    <mergeCell ref="BT109:CI109"/>
    <mergeCell ref="CJ109:DA109"/>
    <mergeCell ref="A100:G100"/>
    <mergeCell ref="H100:BC100"/>
    <mergeCell ref="BD100:BS100"/>
    <mergeCell ref="BT100:CD100"/>
    <mergeCell ref="CE100:DA100"/>
    <mergeCell ref="A101:G101"/>
    <mergeCell ref="H101:BC101"/>
    <mergeCell ref="BD101:BS101"/>
    <mergeCell ref="BT101:CD101"/>
    <mergeCell ref="CE101:DA101"/>
    <mergeCell ref="A98:G98"/>
    <mergeCell ref="H98:BC98"/>
    <mergeCell ref="BD98:BS98"/>
    <mergeCell ref="BT98:CD98"/>
    <mergeCell ref="CE98:DA98"/>
    <mergeCell ref="A99:G99"/>
    <mergeCell ref="H99:BC99"/>
    <mergeCell ref="BD99:BS99"/>
    <mergeCell ref="BT99:CD99"/>
    <mergeCell ref="CE99:DA99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94:G94"/>
    <mergeCell ref="H94:BC94"/>
    <mergeCell ref="BD94:BS94"/>
    <mergeCell ref="BT94:CD94"/>
    <mergeCell ref="CE94:DA94"/>
    <mergeCell ref="A95:G95"/>
    <mergeCell ref="H95:BC95"/>
    <mergeCell ref="BD95:BS95"/>
    <mergeCell ref="BT95:CD95"/>
    <mergeCell ref="CE95:DA95"/>
    <mergeCell ref="A87:DA87"/>
    <mergeCell ref="X89:DA89"/>
    <mergeCell ref="A91:AO91"/>
    <mergeCell ref="AP91:DA91"/>
    <mergeCell ref="A93:G93"/>
    <mergeCell ref="H93:BC93"/>
    <mergeCell ref="BD93:BS93"/>
    <mergeCell ref="BT93:CD93"/>
    <mergeCell ref="CE93:DA93"/>
    <mergeCell ref="A84:F84"/>
    <mergeCell ref="H84:BV84"/>
    <mergeCell ref="BW84:CL84"/>
    <mergeCell ref="CM84:DA84"/>
    <mergeCell ref="A85:F85"/>
    <mergeCell ref="G85:BV85"/>
    <mergeCell ref="BW85:CL85"/>
    <mergeCell ref="CM85:DA85"/>
    <mergeCell ref="A82:F82"/>
    <mergeCell ref="H82:BV82"/>
    <mergeCell ref="BW82:CL82"/>
    <mergeCell ref="CM82:DA82"/>
    <mergeCell ref="A83:F83"/>
    <mergeCell ref="H83:BV83"/>
    <mergeCell ref="BW83:CL83"/>
    <mergeCell ref="CM83:DA83"/>
    <mergeCell ref="A80:F80"/>
    <mergeCell ref="H80:BV80"/>
    <mergeCell ref="BW80:CL80"/>
    <mergeCell ref="CM80:DA80"/>
    <mergeCell ref="A81:F81"/>
    <mergeCell ref="H81:BV81"/>
    <mergeCell ref="BW81:CL81"/>
    <mergeCell ref="CM81:DA81"/>
    <mergeCell ref="A77:F77"/>
    <mergeCell ref="H77:BV77"/>
    <mergeCell ref="BW77:CL77"/>
    <mergeCell ref="CM77:DA77"/>
    <mergeCell ref="A78:F79"/>
    <mergeCell ref="H78:BV78"/>
    <mergeCell ref="BW78:CL79"/>
    <mergeCell ref="CM78:DA79"/>
    <mergeCell ref="H79:BV79"/>
    <mergeCell ref="A75:F75"/>
    <mergeCell ref="H75:BV75"/>
    <mergeCell ref="BW75:CL75"/>
    <mergeCell ref="CM75:DA75"/>
    <mergeCell ref="A76:F76"/>
    <mergeCell ref="H76:BV76"/>
    <mergeCell ref="BW76:CL76"/>
    <mergeCell ref="CM76:DA76"/>
    <mergeCell ref="A72:F72"/>
    <mergeCell ref="H72:BV72"/>
    <mergeCell ref="BW72:CL72"/>
    <mergeCell ref="CM72:DA72"/>
    <mergeCell ref="A73:F74"/>
    <mergeCell ref="H73:BV73"/>
    <mergeCell ref="BW73:CL74"/>
    <mergeCell ref="CM73:DA74"/>
    <mergeCell ref="H74:BV74"/>
    <mergeCell ref="A68:DA68"/>
    <mergeCell ref="A70:F70"/>
    <mergeCell ref="G70:BV70"/>
    <mergeCell ref="BW70:CL70"/>
    <mergeCell ref="CM70:DA70"/>
    <mergeCell ref="A71:F71"/>
    <mergeCell ref="G71:BV71"/>
    <mergeCell ref="BW71:CL71"/>
    <mergeCell ref="CM71:DA71"/>
    <mergeCell ref="A67:F67"/>
    <mergeCell ref="G67:AD67"/>
    <mergeCell ref="AE67:AY67"/>
    <mergeCell ref="AZ67:BQ67"/>
    <mergeCell ref="BR67:CI67"/>
    <mergeCell ref="CJ67:DA67"/>
    <mergeCell ref="A66:F66"/>
    <mergeCell ref="G66:AD66"/>
    <mergeCell ref="AE66:AY66"/>
    <mergeCell ref="AZ66:BQ66"/>
    <mergeCell ref="BR66:CI66"/>
    <mergeCell ref="CJ66:DA66"/>
    <mergeCell ref="A65:F65"/>
    <mergeCell ref="G65:AD65"/>
    <mergeCell ref="AE65:AY65"/>
    <mergeCell ref="AZ65:BQ65"/>
    <mergeCell ref="BR65:CI65"/>
    <mergeCell ref="CJ65:DA65"/>
    <mergeCell ref="A62:DA62"/>
    <mergeCell ref="A64:F64"/>
    <mergeCell ref="G64:AD64"/>
    <mergeCell ref="AE64:AY64"/>
    <mergeCell ref="AZ64:BQ64"/>
    <mergeCell ref="BR64:CI64"/>
    <mergeCell ref="CJ64:DA64"/>
    <mergeCell ref="A60:F60"/>
    <mergeCell ref="G60:AD60"/>
    <mergeCell ref="AE60:BC60"/>
    <mergeCell ref="BD60:BS60"/>
    <mergeCell ref="BT60:CI60"/>
    <mergeCell ref="CJ60:DA60"/>
    <mergeCell ref="A59:F59"/>
    <mergeCell ref="G59:AD59"/>
    <mergeCell ref="AE59:BC59"/>
    <mergeCell ref="BD59:BS59"/>
    <mergeCell ref="BT59:CI59"/>
    <mergeCell ref="CJ59:DA59"/>
    <mergeCell ref="A58:F58"/>
    <mergeCell ref="G58:AD58"/>
    <mergeCell ref="AE58:BC58"/>
    <mergeCell ref="BD58:BS58"/>
    <mergeCell ref="BT58:CI58"/>
    <mergeCell ref="CJ58:DA58"/>
    <mergeCell ref="CJ56:DA56"/>
    <mergeCell ref="A57:F57"/>
    <mergeCell ref="G57:AD57"/>
    <mergeCell ref="AE57:BC57"/>
    <mergeCell ref="BD57:BS57"/>
    <mergeCell ref="BT57:CI57"/>
    <mergeCell ref="CJ57:DA57"/>
    <mergeCell ref="DI48:DX48"/>
    <mergeCell ref="DY48:EN48"/>
    <mergeCell ref="EO48:FE48"/>
    <mergeCell ref="X53:FE53"/>
    <mergeCell ref="A54:DA54"/>
    <mergeCell ref="A56:F56"/>
    <mergeCell ref="G56:AD56"/>
    <mergeCell ref="AE56:BC56"/>
    <mergeCell ref="BD56:BS56"/>
    <mergeCell ref="BT56:CI56"/>
    <mergeCell ref="A48:X48"/>
    <mergeCell ref="Y48:AN48"/>
    <mergeCell ref="AO48:BE48"/>
    <mergeCell ref="BF48:BW48"/>
    <mergeCell ref="BX48:CP48"/>
    <mergeCell ref="CQ48:DH48"/>
    <mergeCell ref="DI46:DX46"/>
    <mergeCell ref="DY46:EN47"/>
    <mergeCell ref="EO46:FE46"/>
    <mergeCell ref="Y47:AN47"/>
    <mergeCell ref="AO47:BE47"/>
    <mergeCell ref="BF47:BW47"/>
    <mergeCell ref="BX47:CP47"/>
    <mergeCell ref="CQ47:DH47"/>
    <mergeCell ref="DI47:DX47"/>
    <mergeCell ref="EO47:FE47"/>
    <mergeCell ref="A46:X47"/>
    <mergeCell ref="Y46:AN46"/>
    <mergeCell ref="AO46:BE46"/>
    <mergeCell ref="BF46:BW46"/>
    <mergeCell ref="BX46:CP46"/>
    <mergeCell ref="CQ46:DH46"/>
    <mergeCell ref="CQ44:DH44"/>
    <mergeCell ref="DI44:DX45"/>
    <mergeCell ref="DY44:EN45"/>
    <mergeCell ref="EO44:FE44"/>
    <mergeCell ref="Y45:AN45"/>
    <mergeCell ref="AO45:BE45"/>
    <mergeCell ref="CQ45:DH45"/>
    <mergeCell ref="EO45:FE45"/>
    <mergeCell ref="A44:F45"/>
    <mergeCell ref="G44:X45"/>
    <mergeCell ref="Y44:AN44"/>
    <mergeCell ref="AO44:BE44"/>
    <mergeCell ref="BF44:BW45"/>
    <mergeCell ref="BX44:CP45"/>
    <mergeCell ref="CQ42:DH42"/>
    <mergeCell ref="DI42:DX43"/>
    <mergeCell ref="DY42:EN43"/>
    <mergeCell ref="EO42:FE42"/>
    <mergeCell ref="Y43:AN43"/>
    <mergeCell ref="AO43:BE43"/>
    <mergeCell ref="BF43:BW43"/>
    <mergeCell ref="BX43:CP43"/>
    <mergeCell ref="CQ43:DH43"/>
    <mergeCell ref="EO43:FE43"/>
    <mergeCell ref="A42:F43"/>
    <mergeCell ref="G42:X43"/>
    <mergeCell ref="Y42:AN42"/>
    <mergeCell ref="AO42:BE42"/>
    <mergeCell ref="BF42:BW42"/>
    <mergeCell ref="BX42:CP42"/>
    <mergeCell ref="CQ40:DH40"/>
    <mergeCell ref="DI40:DX41"/>
    <mergeCell ref="DY40:EN41"/>
    <mergeCell ref="EO40:FE40"/>
    <mergeCell ref="Y41:AN41"/>
    <mergeCell ref="AO41:BE41"/>
    <mergeCell ref="BF41:BW41"/>
    <mergeCell ref="BX41:CP41"/>
    <mergeCell ref="CQ41:DH41"/>
    <mergeCell ref="EO41:FE41"/>
    <mergeCell ref="A40:F41"/>
    <mergeCell ref="G40:X41"/>
    <mergeCell ref="Y40:AN40"/>
    <mergeCell ref="AO40:BE40"/>
    <mergeCell ref="BF40:BW40"/>
    <mergeCell ref="BX40:CP40"/>
    <mergeCell ref="CQ38:DH38"/>
    <mergeCell ref="DI38:DX39"/>
    <mergeCell ref="DY38:EN39"/>
    <mergeCell ref="EO38:FE38"/>
    <mergeCell ref="Y39:AN39"/>
    <mergeCell ref="AO39:BE39"/>
    <mergeCell ref="CQ39:DH39"/>
    <mergeCell ref="EO39:FE39"/>
    <mergeCell ref="A38:F39"/>
    <mergeCell ref="G38:X39"/>
    <mergeCell ref="Y38:AN38"/>
    <mergeCell ref="AO38:BE38"/>
    <mergeCell ref="BF38:BW39"/>
    <mergeCell ref="BX38:CP39"/>
    <mergeCell ref="CQ36:DH36"/>
    <mergeCell ref="DI36:DX37"/>
    <mergeCell ref="DY36:EN37"/>
    <mergeCell ref="EO36:FE36"/>
    <mergeCell ref="Y37:AN37"/>
    <mergeCell ref="AO37:BE37"/>
    <mergeCell ref="BF37:BW37"/>
    <mergeCell ref="BX37:CP37"/>
    <mergeCell ref="CQ37:DH37"/>
    <mergeCell ref="EO37:FE37"/>
    <mergeCell ref="A36:F37"/>
    <mergeCell ref="G36:X37"/>
    <mergeCell ref="Y36:AN36"/>
    <mergeCell ref="AO36:BE36"/>
    <mergeCell ref="BF36:BW36"/>
    <mergeCell ref="BX36:CP36"/>
    <mergeCell ref="CQ34:DH34"/>
    <mergeCell ref="DI34:DX35"/>
    <mergeCell ref="DY34:EN35"/>
    <mergeCell ref="EO34:FE34"/>
    <mergeCell ref="Y35:AN35"/>
    <mergeCell ref="AO35:BE35"/>
    <mergeCell ref="BF35:BW35"/>
    <mergeCell ref="BX35:CP35"/>
    <mergeCell ref="CQ35:DH35"/>
    <mergeCell ref="EO35:FE35"/>
    <mergeCell ref="A34:F35"/>
    <mergeCell ref="G34:X35"/>
    <mergeCell ref="Y34:AN34"/>
    <mergeCell ref="AO34:BE34"/>
    <mergeCell ref="BF34:BW34"/>
    <mergeCell ref="BX34:CP34"/>
    <mergeCell ref="CQ32:DH32"/>
    <mergeCell ref="DI32:DX33"/>
    <mergeCell ref="DY32:EN33"/>
    <mergeCell ref="EO32:FE32"/>
    <mergeCell ref="Y33:AN33"/>
    <mergeCell ref="AO33:BE33"/>
    <mergeCell ref="BF33:BW33"/>
    <mergeCell ref="BX33:CP33"/>
    <mergeCell ref="CQ33:DH33"/>
    <mergeCell ref="EO33:FE33"/>
    <mergeCell ref="A32:F33"/>
    <mergeCell ref="G32:X33"/>
    <mergeCell ref="Y32:AN32"/>
    <mergeCell ref="AO32:BE32"/>
    <mergeCell ref="BF32:BW32"/>
    <mergeCell ref="BX32:CP32"/>
    <mergeCell ref="CQ30:DH30"/>
    <mergeCell ref="DI30:DX31"/>
    <mergeCell ref="DY30:EN31"/>
    <mergeCell ref="EO30:FE30"/>
    <mergeCell ref="Y31:AN31"/>
    <mergeCell ref="AO31:BE31"/>
    <mergeCell ref="BF31:BW31"/>
    <mergeCell ref="BX31:CP31"/>
    <mergeCell ref="CQ31:DH31"/>
    <mergeCell ref="EO31:FE31"/>
    <mergeCell ref="A30:F31"/>
    <mergeCell ref="G30:X31"/>
    <mergeCell ref="Y30:AN30"/>
    <mergeCell ref="AO30:BE30"/>
    <mergeCell ref="BF30:BW30"/>
    <mergeCell ref="BX30:CP30"/>
    <mergeCell ref="CQ28:DH28"/>
    <mergeCell ref="DI28:DX29"/>
    <mergeCell ref="DY28:EN29"/>
    <mergeCell ref="EO28:FE28"/>
    <mergeCell ref="Y29:AN29"/>
    <mergeCell ref="AO29:BE29"/>
    <mergeCell ref="BF29:BW29"/>
    <mergeCell ref="CQ29:DH29"/>
    <mergeCell ref="EO29:FE29"/>
    <mergeCell ref="A28:F29"/>
    <mergeCell ref="G28:X29"/>
    <mergeCell ref="Y28:AN28"/>
    <mergeCell ref="AO28:BE28"/>
    <mergeCell ref="BF28:BW28"/>
    <mergeCell ref="BX28:CP29"/>
    <mergeCell ref="CQ26:DH26"/>
    <mergeCell ref="DI26:DX27"/>
    <mergeCell ref="DY26:EN27"/>
    <mergeCell ref="EO26:FE26"/>
    <mergeCell ref="Y27:AN27"/>
    <mergeCell ref="AO27:BE27"/>
    <mergeCell ref="BF27:BW27"/>
    <mergeCell ref="BX27:CP27"/>
    <mergeCell ref="CQ27:DH27"/>
    <mergeCell ref="EO27:FE27"/>
    <mergeCell ref="A26:F27"/>
    <mergeCell ref="G26:X27"/>
    <mergeCell ref="Y26:AN26"/>
    <mergeCell ref="AO26:BE26"/>
    <mergeCell ref="BF26:BW26"/>
    <mergeCell ref="BX26:CP26"/>
    <mergeCell ref="CQ24:DH24"/>
    <mergeCell ref="DI24:DX25"/>
    <mergeCell ref="DY24:EN25"/>
    <mergeCell ref="EO24:FE24"/>
    <mergeCell ref="Y25:AN25"/>
    <mergeCell ref="AO25:BE25"/>
    <mergeCell ref="BF25:BW25"/>
    <mergeCell ref="BX25:CP25"/>
    <mergeCell ref="CQ25:DH25"/>
    <mergeCell ref="EO25:FE25"/>
    <mergeCell ref="A24:F25"/>
    <mergeCell ref="G24:X25"/>
    <mergeCell ref="Y24:AN24"/>
    <mergeCell ref="AO24:BE24"/>
    <mergeCell ref="BF24:BW24"/>
    <mergeCell ref="BX24:CP24"/>
    <mergeCell ref="CQ22:DH22"/>
    <mergeCell ref="DI22:DX23"/>
    <mergeCell ref="DY22:EN23"/>
    <mergeCell ref="EO22:FE22"/>
    <mergeCell ref="Y23:AN23"/>
    <mergeCell ref="AO23:BE23"/>
    <mergeCell ref="BF23:BW23"/>
    <mergeCell ref="CQ23:DH23"/>
    <mergeCell ref="EO23:FE23"/>
    <mergeCell ref="A22:F23"/>
    <mergeCell ref="G22:X23"/>
    <mergeCell ref="Y22:AN22"/>
    <mergeCell ref="AO22:BE22"/>
    <mergeCell ref="BF22:BW22"/>
    <mergeCell ref="BX22:CP23"/>
    <mergeCell ref="CQ20:DH20"/>
    <mergeCell ref="DI20:DX21"/>
    <mergeCell ref="DY20:EN21"/>
    <mergeCell ref="EO20:FE20"/>
    <mergeCell ref="Y21:AN21"/>
    <mergeCell ref="AO21:BE21"/>
    <mergeCell ref="CQ21:DH21"/>
    <mergeCell ref="EO21:FE21"/>
    <mergeCell ref="CQ19:DH19"/>
    <mergeCell ref="DI19:DX19"/>
    <mergeCell ref="DY19:EN19"/>
    <mergeCell ref="EO19:FE19"/>
    <mergeCell ref="A20:F21"/>
    <mergeCell ref="G20:X21"/>
    <mergeCell ref="Y20:AN20"/>
    <mergeCell ref="AO20:BE20"/>
    <mergeCell ref="BF20:BW21"/>
    <mergeCell ref="BX20:CP21"/>
    <mergeCell ref="Y18:AN18"/>
    <mergeCell ref="BF18:BW18"/>
    <mergeCell ref="BX18:CP18"/>
    <mergeCell ref="CQ18:DH18"/>
    <mergeCell ref="A19:F19"/>
    <mergeCell ref="G19:X19"/>
    <mergeCell ref="Y19:AN19"/>
    <mergeCell ref="AO19:BE19"/>
    <mergeCell ref="BF19:BW19"/>
    <mergeCell ref="BX19:CP19"/>
    <mergeCell ref="A14:FE14"/>
    <mergeCell ref="A16:F18"/>
    <mergeCell ref="G16:X18"/>
    <mergeCell ref="Y16:AN17"/>
    <mergeCell ref="AO16:DH16"/>
    <mergeCell ref="DI16:DX18"/>
    <mergeCell ref="DY16:EN18"/>
    <mergeCell ref="EO16:FE18"/>
    <mergeCell ref="AO17:BE18"/>
    <mergeCell ref="BF17:DH17"/>
    <mergeCell ref="DA3:FE3"/>
    <mergeCell ref="A5:FE5"/>
    <mergeCell ref="A7:FE7"/>
    <mergeCell ref="X10:FE10"/>
    <mergeCell ref="A12:AO12"/>
    <mergeCell ref="AP12:FE12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7"/>
  <sheetViews>
    <sheetView view="pageBreakPreview" zoomScaleSheetLayoutView="100" zoomScalePageLayoutView="0" workbookViewId="0" topLeftCell="A9">
      <selection activeCell="A1" sqref="A1:FK17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183" t="s">
        <v>132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133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179" t="s">
        <v>316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</row>
    <row r="5" spans="1:108" ht="18" customHeight="1">
      <c r="A5" s="14" t="s">
        <v>134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6" customHeight="1">
      <c r="A6" s="179" t="s">
        <v>317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</row>
    <row r="7" spans="1:108" ht="24" customHeight="1">
      <c r="A7" s="14" t="s">
        <v>101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409.5" customHeight="1">
      <c r="A8" s="179" t="s">
        <v>570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</row>
    <row r="9" spans="1:128" ht="33.75" customHeight="1">
      <c r="A9" s="179" t="s">
        <v>574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</row>
    <row r="10" spans="1:128" ht="16.5" customHeight="1">
      <c r="A10" s="76"/>
      <c r="B10" s="179" t="s">
        <v>6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76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</row>
    <row r="11" spans="1:128" ht="16.5" customHeight="1">
      <c r="A11" s="76"/>
      <c r="B11" s="179" t="s">
        <v>188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76"/>
      <c r="CX11" s="76"/>
      <c r="CY11" s="76"/>
      <c r="CZ11" s="76"/>
      <c r="DA11" s="76"/>
      <c r="DB11" s="76"/>
      <c r="DC11" s="76"/>
      <c r="DD11" s="76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</row>
    <row r="12" spans="1:128" ht="16.5" customHeight="1">
      <c r="A12" s="76"/>
      <c r="B12" s="77"/>
      <c r="C12" s="77"/>
      <c r="D12" s="75"/>
      <c r="E12" s="75"/>
      <c r="F12" s="75"/>
      <c r="G12" s="75"/>
      <c r="H12" s="75"/>
      <c r="I12" s="181" t="s">
        <v>575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6"/>
      <c r="CX12" s="76"/>
      <c r="CY12" s="76"/>
      <c r="CZ12" s="76"/>
      <c r="DA12" s="76"/>
      <c r="DB12" s="76"/>
      <c r="DC12" s="76"/>
      <c r="DD12" s="76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</row>
    <row r="13" spans="1:128" ht="32.25" customHeight="1">
      <c r="A13" s="76"/>
      <c r="B13" s="179" t="s">
        <v>189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</row>
    <row r="14" spans="1:128" ht="16.5" customHeight="1">
      <c r="A14" s="76"/>
      <c r="B14" s="77"/>
      <c r="C14" s="77"/>
      <c r="D14" s="75"/>
      <c r="E14" s="75"/>
      <c r="F14" s="75"/>
      <c r="G14" s="75"/>
      <c r="H14" s="75"/>
      <c r="I14" s="181">
        <v>0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6"/>
      <c r="CX14" s="76"/>
      <c r="CY14" s="76"/>
      <c r="CZ14" s="76"/>
      <c r="DA14" s="76"/>
      <c r="DB14" s="76"/>
      <c r="DC14" s="76"/>
      <c r="DD14" s="76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</row>
    <row r="15" spans="1:128" ht="30.75" customHeight="1">
      <c r="A15" s="182" t="s">
        <v>591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</row>
    <row r="16" spans="1:128" ht="15">
      <c r="A16" s="76"/>
      <c r="B16" s="179" t="s">
        <v>6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76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</row>
    <row r="17" spans="1:128" s="78" customFormat="1" ht="15" customHeight="1">
      <c r="A17" s="76"/>
      <c r="B17" s="179" t="s">
        <v>190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80">
        <v>184366540.78</v>
      </c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76"/>
      <c r="CW17" s="76"/>
      <c r="CX17" s="76"/>
      <c r="CY17" s="76"/>
      <c r="CZ17" s="76"/>
      <c r="DA17" s="76"/>
      <c r="DB17" s="76"/>
      <c r="DC17" s="76"/>
      <c r="DD17" s="7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</row>
  </sheetData>
  <sheetProtection/>
  <mergeCells count="14">
    <mergeCell ref="A4:FK4"/>
    <mergeCell ref="A6:FK6"/>
    <mergeCell ref="B1:FJ1"/>
    <mergeCell ref="A8:FK8"/>
    <mergeCell ref="A9:DD9"/>
    <mergeCell ref="B10:Q10"/>
    <mergeCell ref="B17:BR17"/>
    <mergeCell ref="BS17:CU17"/>
    <mergeCell ref="B11:CV11"/>
    <mergeCell ref="I12:AK12"/>
    <mergeCell ref="B13:DX13"/>
    <mergeCell ref="I14:AK14"/>
    <mergeCell ref="A15:DX15"/>
    <mergeCell ref="B16:Q16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9">
      <selection activeCell="A2" sqref="A2:DA26"/>
    </sheetView>
  </sheetViews>
  <sheetFormatPr defaultColWidth="0.875" defaultRowHeight="12" customHeight="1"/>
  <cols>
    <col min="1" max="16384" width="0.875" style="79" customWidth="1"/>
  </cols>
  <sheetData>
    <row r="1" ht="3" customHeight="1"/>
    <row r="2" ht="10.5" customHeight="1"/>
    <row r="3" spans="1:105" s="80" customFormat="1" ht="14.25">
      <c r="A3" s="199" t="s">
        <v>208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</row>
    <row r="4" spans="1:105" s="80" customFormat="1" ht="14.25">
      <c r="A4" s="199" t="s">
        <v>209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</row>
    <row r="5" spans="1:105" s="80" customFormat="1" ht="15">
      <c r="A5" s="200" t="s">
        <v>191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</row>
    <row r="6" spans="1:105" s="80" customFormat="1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</row>
    <row r="7" ht="10.5" customHeight="1"/>
    <row r="8" spans="1:105" s="82" customFormat="1" ht="45" customHeight="1">
      <c r="A8" s="201" t="s">
        <v>192</v>
      </c>
      <c r="B8" s="202"/>
      <c r="C8" s="202"/>
      <c r="D8" s="202"/>
      <c r="E8" s="202"/>
      <c r="F8" s="202"/>
      <c r="G8" s="203"/>
      <c r="H8" s="201" t="s">
        <v>0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3"/>
      <c r="BT8" s="201" t="s">
        <v>579</v>
      </c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3"/>
    </row>
    <row r="9" spans="1:105" s="83" customFormat="1" ht="12.75">
      <c r="A9" s="196">
        <v>1</v>
      </c>
      <c r="B9" s="197"/>
      <c r="C9" s="197"/>
      <c r="D9" s="197"/>
      <c r="E9" s="197"/>
      <c r="F9" s="197"/>
      <c r="G9" s="198"/>
      <c r="H9" s="196">
        <v>2</v>
      </c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8"/>
      <c r="BT9" s="196">
        <v>3</v>
      </c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8"/>
    </row>
    <row r="10" spans="1:105" s="84" customFormat="1" ht="23.25" customHeight="1">
      <c r="A10" s="184"/>
      <c r="B10" s="185"/>
      <c r="C10" s="185"/>
      <c r="D10" s="185"/>
      <c r="E10" s="185"/>
      <c r="F10" s="185"/>
      <c r="G10" s="186"/>
      <c r="H10" s="193" t="s">
        <v>193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5"/>
      <c r="BT10" s="190">
        <v>445284402.73</v>
      </c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2"/>
    </row>
    <row r="11" spans="1:105" s="84" customFormat="1" ht="30.75" customHeight="1">
      <c r="A11" s="184"/>
      <c r="B11" s="185"/>
      <c r="C11" s="185"/>
      <c r="D11" s="185"/>
      <c r="E11" s="185"/>
      <c r="F11" s="185"/>
      <c r="G11" s="186"/>
      <c r="H11" s="187" t="s">
        <v>194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9"/>
      <c r="BT11" s="190">
        <v>115126344.18</v>
      </c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2"/>
    </row>
    <row r="12" spans="1:105" s="84" customFormat="1" ht="30.75" customHeight="1">
      <c r="A12" s="184"/>
      <c r="B12" s="185"/>
      <c r="C12" s="185"/>
      <c r="D12" s="185"/>
      <c r="E12" s="185"/>
      <c r="F12" s="185"/>
      <c r="G12" s="186"/>
      <c r="H12" s="187" t="s">
        <v>195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9"/>
      <c r="BT12" s="190">
        <v>56505577.65</v>
      </c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2"/>
    </row>
    <row r="13" spans="1:105" s="84" customFormat="1" ht="15" customHeight="1">
      <c r="A13" s="184"/>
      <c r="B13" s="185"/>
      <c r="C13" s="185"/>
      <c r="D13" s="185"/>
      <c r="E13" s="185"/>
      <c r="F13" s="185"/>
      <c r="G13" s="186"/>
      <c r="H13" s="187" t="s">
        <v>196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9"/>
      <c r="BT13" s="190">
        <v>184366540.78</v>
      </c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2"/>
    </row>
    <row r="14" spans="1:105" s="84" customFormat="1" ht="30.75" customHeight="1">
      <c r="A14" s="184"/>
      <c r="B14" s="185"/>
      <c r="C14" s="185"/>
      <c r="D14" s="185"/>
      <c r="E14" s="185"/>
      <c r="F14" s="185"/>
      <c r="G14" s="186"/>
      <c r="H14" s="187" t="s">
        <v>195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9"/>
      <c r="BT14" s="190">
        <v>105714515.06</v>
      </c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2"/>
    </row>
    <row r="15" spans="1:105" s="84" customFormat="1" ht="23.25" customHeight="1">
      <c r="A15" s="184"/>
      <c r="B15" s="185"/>
      <c r="C15" s="185"/>
      <c r="D15" s="185"/>
      <c r="E15" s="185"/>
      <c r="F15" s="185"/>
      <c r="G15" s="186"/>
      <c r="H15" s="193" t="s">
        <v>197</v>
      </c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5"/>
      <c r="BT15" s="190">
        <v>-320491999.69</v>
      </c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2"/>
    </row>
    <row r="16" spans="1:105" s="84" customFormat="1" ht="30.75" customHeight="1">
      <c r="A16" s="184"/>
      <c r="B16" s="185"/>
      <c r="C16" s="185"/>
      <c r="D16" s="185"/>
      <c r="E16" s="185"/>
      <c r="F16" s="185"/>
      <c r="G16" s="186"/>
      <c r="H16" s="187" t="s">
        <v>198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9"/>
      <c r="BT16" s="190">
        <v>91622949.72</v>
      </c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</row>
    <row r="17" spans="1:105" s="84" customFormat="1" ht="30.75" customHeight="1">
      <c r="A17" s="184"/>
      <c r="B17" s="185"/>
      <c r="C17" s="185"/>
      <c r="D17" s="185"/>
      <c r="E17" s="185"/>
      <c r="F17" s="185"/>
      <c r="G17" s="186"/>
      <c r="H17" s="187" t="s">
        <v>199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 s="190">
        <v>91622949.72</v>
      </c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</row>
    <row r="18" spans="1:105" s="84" customFormat="1" ht="15" customHeight="1">
      <c r="A18" s="184"/>
      <c r="B18" s="185"/>
      <c r="C18" s="185"/>
      <c r="D18" s="185"/>
      <c r="E18" s="185"/>
      <c r="F18" s="185"/>
      <c r="G18" s="186"/>
      <c r="H18" s="18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9"/>
      <c r="BT18" s="190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2"/>
    </row>
    <row r="19" spans="1:105" s="84" customFormat="1" ht="30.75" customHeight="1">
      <c r="A19" s="184"/>
      <c r="B19" s="185"/>
      <c r="C19" s="185"/>
      <c r="D19" s="185"/>
      <c r="E19" s="185"/>
      <c r="F19" s="185"/>
      <c r="G19" s="186"/>
      <c r="H19" s="187" t="s">
        <v>200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9"/>
      <c r="BT19" s="190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2"/>
    </row>
    <row r="20" spans="1:105" s="84" customFormat="1" ht="18.75" customHeight="1">
      <c r="A20" s="184"/>
      <c r="B20" s="185"/>
      <c r="C20" s="185"/>
      <c r="D20" s="185"/>
      <c r="E20" s="185"/>
      <c r="F20" s="185"/>
      <c r="G20" s="186"/>
      <c r="H20" s="187" t="s">
        <v>201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9"/>
      <c r="BT20" s="190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2"/>
    </row>
    <row r="21" spans="1:105" s="84" customFormat="1" ht="21" customHeight="1">
      <c r="A21" s="184"/>
      <c r="B21" s="185"/>
      <c r="C21" s="185"/>
      <c r="D21" s="185"/>
      <c r="E21" s="185"/>
      <c r="F21" s="185"/>
      <c r="G21" s="186"/>
      <c r="H21" s="187" t="s">
        <v>202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9"/>
      <c r="BT21" s="190">
        <v>-58992435.85</v>
      </c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2"/>
    </row>
    <row r="22" spans="1:105" s="84" customFormat="1" ht="33.75" customHeight="1">
      <c r="A22" s="184"/>
      <c r="B22" s="185"/>
      <c r="C22" s="185"/>
      <c r="D22" s="185"/>
      <c r="E22" s="185"/>
      <c r="F22" s="185"/>
      <c r="G22" s="186"/>
      <c r="H22" s="187" t="s">
        <v>203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9"/>
      <c r="BT22" s="190">
        <v>49487.55</v>
      </c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2"/>
    </row>
    <row r="23" spans="1:105" s="84" customFormat="1" ht="23.25" customHeight="1">
      <c r="A23" s="184"/>
      <c r="B23" s="185"/>
      <c r="C23" s="185"/>
      <c r="D23" s="185"/>
      <c r="E23" s="185"/>
      <c r="F23" s="185"/>
      <c r="G23" s="186"/>
      <c r="H23" s="193" t="s">
        <v>204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5"/>
      <c r="BT23" s="190">
        <v>60399562.31</v>
      </c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2"/>
    </row>
    <row r="24" spans="1:105" s="84" customFormat="1" ht="30.75" customHeight="1">
      <c r="A24" s="184"/>
      <c r="B24" s="185"/>
      <c r="C24" s="185"/>
      <c r="D24" s="185"/>
      <c r="E24" s="185"/>
      <c r="F24" s="185"/>
      <c r="G24" s="186"/>
      <c r="H24" s="187" t="s">
        <v>205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9"/>
      <c r="BT24" s="190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2"/>
    </row>
    <row r="25" spans="1:105" s="84" customFormat="1" ht="26.25" customHeight="1">
      <c r="A25" s="184"/>
      <c r="B25" s="185"/>
      <c r="C25" s="185"/>
      <c r="D25" s="185"/>
      <c r="E25" s="185"/>
      <c r="F25" s="185"/>
      <c r="G25" s="186"/>
      <c r="H25" s="187" t="s">
        <v>206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9"/>
      <c r="BT25" s="190">
        <v>787512.47</v>
      </c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2"/>
    </row>
    <row r="26" spans="1:105" s="84" customFormat="1" ht="30.75" customHeight="1">
      <c r="A26" s="184"/>
      <c r="B26" s="185"/>
      <c r="C26" s="185"/>
      <c r="D26" s="185"/>
      <c r="E26" s="185"/>
      <c r="F26" s="185"/>
      <c r="G26" s="186"/>
      <c r="H26" s="187" t="s">
        <v>207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BT26" s="190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2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62"/>
  <sheetViews>
    <sheetView view="pageBreakPreview" zoomScale="115" zoomScaleSheetLayoutView="115" zoomScalePageLayoutView="0" workbookViewId="0" topLeftCell="A44">
      <selection activeCell="A1" sqref="A1:EN59"/>
    </sheetView>
  </sheetViews>
  <sheetFormatPr defaultColWidth="0.875" defaultRowHeight="12.75"/>
  <cols>
    <col min="1" max="33" width="0.875" style="1" customWidth="1"/>
    <col min="34" max="34" width="1.75390625" style="1" customWidth="1"/>
    <col min="35" max="37" width="0.875" style="1" hidden="1" customWidth="1"/>
    <col min="38" max="39" width="5.375" style="31" customWidth="1"/>
    <col min="40" max="40" width="0.12890625" style="1" hidden="1" customWidth="1"/>
    <col min="41" max="41" width="0.2421875" style="1" hidden="1" customWidth="1"/>
    <col min="42" max="46" width="0.875" style="1" hidden="1" customWidth="1"/>
    <col min="47" max="56" width="0.875" style="1" customWidth="1"/>
    <col min="57" max="57" width="4.125" style="1" customWidth="1"/>
    <col min="58" max="59" width="0.875" style="1" hidden="1" customWidth="1"/>
    <col min="60" max="60" width="0.2421875" style="1" hidden="1" customWidth="1"/>
    <col min="61" max="62" width="0.875" style="1" hidden="1" customWidth="1"/>
    <col min="63" max="75" width="0.875" style="1" customWidth="1"/>
    <col min="76" max="76" width="0.6171875" style="1" customWidth="1"/>
    <col min="77" max="78" width="0.875" style="1" hidden="1" customWidth="1"/>
    <col min="79" max="94" width="0.875" style="1" customWidth="1"/>
    <col min="95" max="96" width="0.875" style="1" hidden="1" customWidth="1"/>
    <col min="97" max="110" width="0.875" style="1" customWidth="1"/>
    <col min="111" max="112" width="0.875" style="1" hidden="1" customWidth="1"/>
    <col min="113" max="123" width="0.875" style="1" customWidth="1"/>
    <col min="124" max="124" width="2.25390625" style="1" customWidth="1"/>
    <col min="125" max="128" width="0.875" style="1" hidden="1" customWidth="1"/>
    <col min="129" max="140" width="0.875" style="1" customWidth="1"/>
    <col min="141" max="141" width="0.74609375" style="1" customWidth="1"/>
    <col min="142" max="143" width="0.875" style="1" hidden="1" customWidth="1"/>
    <col min="144" max="144" width="0.12890625" style="1" customWidth="1"/>
    <col min="145" max="168" width="0.875" style="1" customWidth="1"/>
    <col min="169" max="169" width="16.875" style="1" bestFit="1" customWidth="1"/>
    <col min="170" max="171" width="0.875" style="1" customWidth="1"/>
    <col min="172" max="172" width="16.875" style="1" bestFit="1" customWidth="1"/>
    <col min="173" max="173" width="0.875" style="1" customWidth="1"/>
    <col min="174" max="174" width="10.875" style="1" bestFit="1" customWidth="1"/>
    <col min="175" max="177" width="0.875" style="1" customWidth="1"/>
    <col min="178" max="178" width="4.375" style="1" bestFit="1" customWidth="1"/>
    <col min="179" max="16384" width="0.875" style="1" customWidth="1"/>
  </cols>
  <sheetData>
    <row r="1" spans="1:144" ht="15" customHeight="1">
      <c r="A1" s="210" t="s">
        <v>580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</row>
    <row r="2" spans="1:14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  <c r="AM2" s="33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235" t="s">
        <v>26</v>
      </c>
      <c r="BF2" s="235"/>
      <c r="BG2" s="235"/>
      <c r="BH2" s="235"/>
      <c r="BI2" s="235"/>
      <c r="BJ2" s="235"/>
      <c r="BK2" s="143"/>
      <c r="BL2" s="143"/>
      <c r="BM2" s="143"/>
      <c r="BN2" s="143"/>
      <c r="BO2" s="157" t="s">
        <v>2</v>
      </c>
      <c r="BP2" s="157"/>
      <c r="BQ2" s="157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58">
        <v>20</v>
      </c>
      <c r="CK2" s="158"/>
      <c r="CL2" s="158"/>
      <c r="CM2" s="158"/>
      <c r="CN2" s="153" t="s">
        <v>104</v>
      </c>
      <c r="CO2" s="153"/>
      <c r="CP2" s="153"/>
      <c r="CQ2" s="153"/>
      <c r="CR2" s="150" t="s">
        <v>3</v>
      </c>
      <c r="CS2" s="150"/>
      <c r="CT2" s="150"/>
      <c r="CU2" s="150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</row>
    <row r="3" spans="1:14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  <c r="AM3" s="35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</row>
    <row r="4" spans="1:144" s="30" customFormat="1" ht="15" customHeight="1">
      <c r="A4" s="216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 t="s">
        <v>28</v>
      </c>
      <c r="AD4" s="216"/>
      <c r="AE4" s="216"/>
      <c r="AF4" s="216"/>
      <c r="AG4" s="216"/>
      <c r="AH4" s="216"/>
      <c r="AI4" s="216"/>
      <c r="AJ4" s="216"/>
      <c r="AK4" s="216"/>
      <c r="AL4" s="216" t="s">
        <v>125</v>
      </c>
      <c r="AM4" s="216"/>
      <c r="AN4" s="216"/>
      <c r="AO4" s="216"/>
      <c r="AP4" s="216"/>
      <c r="AQ4" s="216"/>
      <c r="AR4" s="216"/>
      <c r="AS4" s="216"/>
      <c r="AT4" s="216"/>
      <c r="AU4" s="216" t="s">
        <v>30</v>
      </c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</row>
    <row r="5" spans="1:144" s="30" customFormat="1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 t="s">
        <v>218</v>
      </c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 t="s">
        <v>6</v>
      </c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</row>
    <row r="6" spans="1:144" s="30" customFormat="1" ht="67.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 t="s">
        <v>185</v>
      </c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 t="s">
        <v>35</v>
      </c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 t="s">
        <v>31</v>
      </c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 t="s">
        <v>32</v>
      </c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</row>
    <row r="7" spans="1:144" s="30" customFormat="1" ht="42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 t="s">
        <v>29</v>
      </c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 t="s">
        <v>33</v>
      </c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</row>
    <row r="8" spans="1:144" s="22" customFormat="1" ht="13.5">
      <c r="A8" s="217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 t="s">
        <v>37</v>
      </c>
      <c r="AD8" s="217"/>
      <c r="AE8" s="217"/>
      <c r="AF8" s="217"/>
      <c r="AG8" s="217"/>
      <c r="AH8" s="217"/>
      <c r="AI8" s="217"/>
      <c r="AJ8" s="217"/>
      <c r="AK8" s="217"/>
      <c r="AL8" s="217" t="s">
        <v>38</v>
      </c>
      <c r="AM8" s="217"/>
      <c r="AN8" s="217"/>
      <c r="AO8" s="217"/>
      <c r="AP8" s="217"/>
      <c r="AQ8" s="217"/>
      <c r="AR8" s="217"/>
      <c r="AS8" s="217"/>
      <c r="AT8" s="217"/>
      <c r="AU8" s="217">
        <v>4</v>
      </c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>
        <v>5</v>
      </c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>
        <v>6</v>
      </c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>
        <v>7</v>
      </c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>
        <v>8</v>
      </c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>
        <v>9</v>
      </c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</row>
    <row r="9" spans="1:172" s="24" customFormat="1" ht="30" customHeight="1">
      <c r="A9" s="127"/>
      <c r="B9" s="214" t="s">
        <v>36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8" t="s">
        <v>39</v>
      </c>
      <c r="AD9" s="218"/>
      <c r="AE9" s="218"/>
      <c r="AF9" s="218"/>
      <c r="AG9" s="218"/>
      <c r="AH9" s="218"/>
      <c r="AI9" s="218"/>
      <c r="AJ9" s="218"/>
      <c r="AK9" s="218"/>
      <c r="AL9" s="218" t="s">
        <v>15</v>
      </c>
      <c r="AM9" s="218"/>
      <c r="AN9" s="218"/>
      <c r="AO9" s="218"/>
      <c r="AP9" s="218"/>
      <c r="AQ9" s="218"/>
      <c r="AR9" s="218"/>
      <c r="AS9" s="218"/>
      <c r="AT9" s="218"/>
      <c r="AU9" s="211">
        <f>BK9+CA9+CS9+DI9+DY9</f>
        <v>653763272.45</v>
      </c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>
        <f>BK12</f>
        <v>441000870</v>
      </c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>
        <f>CA13</f>
        <v>3446600</v>
      </c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>
        <f>CS13</f>
        <v>19315802.45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>
        <f>DI12</f>
        <v>190000000</v>
      </c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>
        <f>DY12+DY14+DY11</f>
        <v>0</v>
      </c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FP9" s="24" t="s">
        <v>588</v>
      </c>
    </row>
    <row r="10" spans="1:144" s="24" customFormat="1" ht="15" customHeight="1">
      <c r="A10" s="127"/>
      <c r="B10" s="206" t="s">
        <v>6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 t="s">
        <v>15</v>
      </c>
      <c r="AM10" s="213"/>
      <c r="AN10" s="213"/>
      <c r="AO10" s="213"/>
      <c r="AP10" s="213"/>
      <c r="AQ10" s="213"/>
      <c r="AR10" s="213"/>
      <c r="AS10" s="213"/>
      <c r="AT10" s="213"/>
      <c r="AU10" s="205" t="s">
        <v>15</v>
      </c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 t="s">
        <v>15</v>
      </c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 t="s">
        <v>15</v>
      </c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 t="s">
        <v>15</v>
      </c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 t="s">
        <v>15</v>
      </c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 t="s">
        <v>15</v>
      </c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</row>
    <row r="11" spans="1:144" s="24" customFormat="1" ht="30" customHeight="1">
      <c r="A11" s="127"/>
      <c r="B11" s="206" t="s">
        <v>106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13">
        <v>110</v>
      </c>
      <c r="AD11" s="213"/>
      <c r="AE11" s="213"/>
      <c r="AF11" s="213"/>
      <c r="AG11" s="213"/>
      <c r="AH11" s="213"/>
      <c r="AI11" s="213"/>
      <c r="AJ11" s="213"/>
      <c r="AK11" s="213"/>
      <c r="AL11" s="213">
        <v>120</v>
      </c>
      <c r="AM11" s="213"/>
      <c r="AN11" s="213"/>
      <c r="AO11" s="213"/>
      <c r="AP11" s="213"/>
      <c r="AQ11" s="213"/>
      <c r="AR11" s="213"/>
      <c r="AS11" s="213"/>
      <c r="AT11" s="213"/>
      <c r="AU11" s="211">
        <f>DI11+DY11</f>
        <v>0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05" t="s">
        <v>15</v>
      </c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 t="s">
        <v>15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 t="s">
        <v>15</v>
      </c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>
        <v>0</v>
      </c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>
        <v>0</v>
      </c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</row>
    <row r="12" spans="1:144" s="24" customFormat="1" ht="30" customHeight="1">
      <c r="A12" s="127"/>
      <c r="B12" s="206" t="s">
        <v>41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13" t="s">
        <v>42</v>
      </c>
      <c r="AD12" s="213"/>
      <c r="AE12" s="213"/>
      <c r="AF12" s="213"/>
      <c r="AG12" s="213"/>
      <c r="AH12" s="213"/>
      <c r="AI12" s="213"/>
      <c r="AJ12" s="213"/>
      <c r="AK12" s="213"/>
      <c r="AL12" s="213">
        <v>130</v>
      </c>
      <c r="AM12" s="213"/>
      <c r="AN12" s="213"/>
      <c r="AO12" s="213"/>
      <c r="AP12" s="213"/>
      <c r="AQ12" s="213"/>
      <c r="AR12" s="213"/>
      <c r="AS12" s="213"/>
      <c r="AT12" s="213"/>
      <c r="AU12" s="211">
        <f>BK12+DI12+DY12</f>
        <v>631000870</v>
      </c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05">
        <v>441000870</v>
      </c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 t="s">
        <v>15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 t="s">
        <v>15</v>
      </c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>
        <v>190000000</v>
      </c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>
        <v>0</v>
      </c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</row>
    <row r="13" spans="1:144" s="24" customFormat="1" ht="28.5" customHeight="1">
      <c r="A13" s="127"/>
      <c r="B13" s="206" t="s">
        <v>44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13" t="s">
        <v>43</v>
      </c>
      <c r="AD13" s="213"/>
      <c r="AE13" s="213"/>
      <c r="AF13" s="213"/>
      <c r="AG13" s="213"/>
      <c r="AH13" s="213"/>
      <c r="AI13" s="213"/>
      <c r="AJ13" s="213"/>
      <c r="AK13" s="213"/>
      <c r="AL13" s="213">
        <v>180</v>
      </c>
      <c r="AM13" s="213"/>
      <c r="AN13" s="213"/>
      <c r="AO13" s="213"/>
      <c r="AP13" s="213"/>
      <c r="AQ13" s="213"/>
      <c r="AR13" s="213"/>
      <c r="AS13" s="213"/>
      <c r="AT13" s="213"/>
      <c r="AU13" s="205">
        <f>CA13+CS13</f>
        <v>22762402.45</v>
      </c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 t="s">
        <v>15</v>
      </c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>
        <f>2360000+700000+386600</f>
        <v>3446600</v>
      </c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>
        <f>13394000+2000000+3921802.45</f>
        <v>19315802.45</v>
      </c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 t="s">
        <v>15</v>
      </c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 t="s">
        <v>15</v>
      </c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</row>
    <row r="14" spans="1:144" s="24" customFormat="1" ht="15" customHeight="1">
      <c r="A14" s="127"/>
      <c r="B14" s="206" t="s">
        <v>45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13" t="s">
        <v>46</v>
      </c>
      <c r="AD14" s="213"/>
      <c r="AE14" s="213"/>
      <c r="AF14" s="213"/>
      <c r="AG14" s="213"/>
      <c r="AH14" s="213"/>
      <c r="AI14" s="213"/>
      <c r="AJ14" s="213"/>
      <c r="AK14" s="213"/>
      <c r="AL14" s="213">
        <v>180</v>
      </c>
      <c r="AM14" s="213"/>
      <c r="AN14" s="213"/>
      <c r="AO14" s="213"/>
      <c r="AP14" s="213"/>
      <c r="AQ14" s="213"/>
      <c r="AR14" s="213"/>
      <c r="AS14" s="213"/>
      <c r="AT14" s="213"/>
      <c r="AU14" s="205">
        <f>DI14+DY14</f>
        <v>0</v>
      </c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 t="s">
        <v>15</v>
      </c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 t="s">
        <v>15</v>
      </c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 t="s">
        <v>15</v>
      </c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</row>
    <row r="15" spans="1:144" s="24" customFormat="1" ht="15" customHeight="1">
      <c r="A15" s="127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</row>
    <row r="16" spans="1:144" s="24" customFormat="1" ht="30" customHeight="1">
      <c r="A16" s="127"/>
      <c r="B16" s="214" t="s">
        <v>48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8" t="s">
        <v>47</v>
      </c>
      <c r="AD16" s="218"/>
      <c r="AE16" s="218"/>
      <c r="AF16" s="218"/>
      <c r="AG16" s="218"/>
      <c r="AH16" s="218"/>
      <c r="AI16" s="218"/>
      <c r="AJ16" s="218"/>
      <c r="AK16" s="218"/>
      <c r="AL16" s="218" t="s">
        <v>15</v>
      </c>
      <c r="AM16" s="218"/>
      <c r="AN16" s="218"/>
      <c r="AO16" s="218"/>
      <c r="AP16" s="218"/>
      <c r="AQ16" s="218"/>
      <c r="AR16" s="218"/>
      <c r="AS16" s="218"/>
      <c r="AT16" s="218"/>
      <c r="AU16" s="204">
        <f>BK16+CA16+CS16+DI16+DY16</f>
        <v>721525165.15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>
        <f>BK17+BK22+BK25+BK35+BK36+BK37</f>
        <v>444757173.32</v>
      </c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>
        <f>CA17+CA22+CA25+CA35+CA36+CA37</f>
        <v>41952189.38</v>
      </c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>
        <f>CS17+CS22+CS25+CS35+CS36+CS37</f>
        <v>19315802.45</v>
      </c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>
        <f>DI17+DI22+DI25+DI35+DI36+DI37</f>
        <v>215500000</v>
      </c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>
        <f>DY17+DY22+DY25+DY35+DY36+DY37</f>
        <v>0</v>
      </c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</row>
    <row r="17" spans="1:144" s="24" customFormat="1" ht="30" customHeight="1">
      <c r="A17" s="127"/>
      <c r="B17" s="214" t="s">
        <v>50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3" t="s">
        <v>49</v>
      </c>
      <c r="AD17" s="213"/>
      <c r="AE17" s="213"/>
      <c r="AF17" s="213"/>
      <c r="AG17" s="213"/>
      <c r="AH17" s="213"/>
      <c r="AI17" s="213"/>
      <c r="AJ17" s="213"/>
      <c r="AK17" s="213"/>
      <c r="AL17" s="218" t="s">
        <v>40</v>
      </c>
      <c r="AM17" s="218"/>
      <c r="AN17" s="218"/>
      <c r="AO17" s="218"/>
      <c r="AP17" s="218"/>
      <c r="AQ17" s="218"/>
      <c r="AR17" s="218"/>
      <c r="AS17" s="218"/>
      <c r="AT17" s="218"/>
      <c r="AU17" s="204">
        <f>BK17+CA17+CS17+DI17+DY17</f>
        <v>531712000</v>
      </c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>
        <f>SUM(BK19:BZ21)</f>
        <v>354142000</v>
      </c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>
        <f>SUM(CA19:CP21)</f>
        <v>0</v>
      </c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>
        <f>SUM(CS19:DH21)</f>
        <v>0</v>
      </c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>
        <f>SUM(DI19:DX21)</f>
        <v>177570000</v>
      </c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>
        <f>SUM(DY19:EN21)</f>
        <v>0</v>
      </c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</row>
    <row r="18" spans="1:144" s="24" customFormat="1" ht="13.5">
      <c r="A18" s="127"/>
      <c r="B18" s="206" t="s">
        <v>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 t="s">
        <v>15</v>
      </c>
      <c r="AM18" s="213"/>
      <c r="AN18" s="213"/>
      <c r="AO18" s="213"/>
      <c r="AP18" s="213"/>
      <c r="AQ18" s="213"/>
      <c r="AR18" s="213"/>
      <c r="AS18" s="213"/>
      <c r="AT18" s="213"/>
      <c r="AU18" s="212" t="s">
        <v>15</v>
      </c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05" t="s">
        <v>15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12" t="s">
        <v>15</v>
      </c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05" t="s">
        <v>15</v>
      </c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 t="s">
        <v>15</v>
      </c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 t="s">
        <v>15</v>
      </c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</row>
    <row r="19" spans="1:144" s="24" customFormat="1" ht="13.5">
      <c r="A19" s="127"/>
      <c r="B19" s="206" t="s">
        <v>51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13"/>
      <c r="AD19" s="213"/>
      <c r="AE19" s="213"/>
      <c r="AF19" s="213"/>
      <c r="AG19" s="213"/>
      <c r="AH19" s="213"/>
      <c r="AI19" s="213"/>
      <c r="AJ19" s="213"/>
      <c r="AK19" s="213"/>
      <c r="AL19" s="115" t="s">
        <v>53</v>
      </c>
      <c r="AM19" s="115" t="s">
        <v>57</v>
      </c>
      <c r="AN19" s="116"/>
      <c r="AO19" s="116"/>
      <c r="AP19" s="116"/>
      <c r="AQ19" s="116"/>
      <c r="AR19" s="116"/>
      <c r="AS19" s="116"/>
      <c r="AT19" s="116"/>
      <c r="AU19" s="204">
        <f aca="true" t="shared" si="0" ref="AU19:AU25">BK19+CA19+CS19+DI19+DY19</f>
        <v>406000000</v>
      </c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5">
        <v>271000000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4"/>
      <c r="CR19" s="204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>
        <v>135000000</v>
      </c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</row>
    <row r="20" spans="1:144" s="24" customFormat="1" ht="27" customHeight="1">
      <c r="A20" s="127"/>
      <c r="B20" s="206" t="s">
        <v>52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13"/>
      <c r="AD20" s="213"/>
      <c r="AE20" s="213"/>
      <c r="AF20" s="213"/>
      <c r="AG20" s="213"/>
      <c r="AH20" s="213"/>
      <c r="AI20" s="213"/>
      <c r="AJ20" s="213"/>
      <c r="AK20" s="213"/>
      <c r="AL20" s="115" t="s">
        <v>54</v>
      </c>
      <c r="AM20" s="115" t="s">
        <v>108</v>
      </c>
      <c r="AN20" s="116"/>
      <c r="AO20" s="116"/>
      <c r="AP20" s="116"/>
      <c r="AQ20" s="116"/>
      <c r="AR20" s="116"/>
      <c r="AS20" s="116"/>
      <c r="AT20" s="116"/>
      <c r="AU20" s="204">
        <f t="shared" si="0"/>
        <v>122612000</v>
      </c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>
        <v>81842000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4"/>
      <c r="CR20" s="204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>
        <v>40770000</v>
      </c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</row>
    <row r="21" spans="1:144" s="24" customFormat="1" ht="44.25" customHeight="1">
      <c r="A21" s="127"/>
      <c r="B21" s="206" t="s">
        <v>56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13"/>
      <c r="AD21" s="213"/>
      <c r="AE21" s="213"/>
      <c r="AF21" s="213"/>
      <c r="AG21" s="213"/>
      <c r="AH21" s="213"/>
      <c r="AI21" s="213"/>
      <c r="AJ21" s="213"/>
      <c r="AK21" s="213"/>
      <c r="AL21" s="115" t="s">
        <v>55</v>
      </c>
      <c r="AM21" s="115" t="s">
        <v>109</v>
      </c>
      <c r="AN21" s="116"/>
      <c r="AO21" s="116"/>
      <c r="AP21" s="116"/>
      <c r="AQ21" s="116"/>
      <c r="AR21" s="116"/>
      <c r="AS21" s="116"/>
      <c r="AT21" s="116"/>
      <c r="AU21" s="204">
        <f t="shared" si="0"/>
        <v>3100000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5">
        <v>1300000</v>
      </c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4"/>
      <c r="CR21" s="204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>
        <v>1800000</v>
      </c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</row>
    <row r="22" spans="1:144" s="24" customFormat="1" ht="44.25" customHeight="1">
      <c r="A22" s="127"/>
      <c r="B22" s="214" t="s">
        <v>217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3">
        <v>220</v>
      </c>
      <c r="AD22" s="213"/>
      <c r="AE22" s="213"/>
      <c r="AF22" s="213"/>
      <c r="AG22" s="213"/>
      <c r="AH22" s="213"/>
      <c r="AI22" s="124"/>
      <c r="AJ22" s="124"/>
      <c r="AK22" s="124"/>
      <c r="AL22" s="219" t="s">
        <v>581</v>
      </c>
      <c r="AM22" s="219"/>
      <c r="AN22" s="116"/>
      <c r="AO22" s="116"/>
      <c r="AP22" s="116"/>
      <c r="AQ22" s="116"/>
      <c r="AR22" s="116"/>
      <c r="AS22" s="116"/>
      <c r="AT22" s="116"/>
      <c r="AU22" s="204">
        <f t="shared" si="0"/>
        <v>0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123"/>
      <c r="BG22" s="123"/>
      <c r="BH22" s="123"/>
      <c r="BI22" s="123"/>
      <c r="BJ22" s="123"/>
      <c r="BK22" s="211">
        <f>BK24</f>
        <v>0</v>
      </c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>
        <f>CA24</f>
        <v>0</v>
      </c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123"/>
      <c r="CR22" s="123"/>
      <c r="CS22" s="211">
        <f>CS24</f>
        <v>0</v>
      </c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>
        <f>DI24</f>
        <v>0</v>
      </c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>
        <f>DY24</f>
        <v>0</v>
      </c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</row>
    <row r="23" spans="1:144" s="24" customFormat="1" ht="13.5">
      <c r="A23" s="127"/>
      <c r="B23" s="206" t="s">
        <v>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13"/>
      <c r="AD23" s="213"/>
      <c r="AE23" s="213"/>
      <c r="AF23" s="213"/>
      <c r="AG23" s="213"/>
      <c r="AH23" s="213"/>
      <c r="AI23" s="124"/>
      <c r="AJ23" s="124"/>
      <c r="AK23" s="124"/>
      <c r="AL23" s="213" t="s">
        <v>15</v>
      </c>
      <c r="AM23" s="213"/>
      <c r="AN23" s="213"/>
      <c r="AO23" s="213"/>
      <c r="AP23" s="213"/>
      <c r="AQ23" s="213"/>
      <c r="AR23" s="213"/>
      <c r="AS23" s="213"/>
      <c r="AT23" s="213"/>
      <c r="AU23" s="212" t="s">
        <v>15</v>
      </c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05" t="s">
        <v>15</v>
      </c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12" t="s">
        <v>15</v>
      </c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05" t="s">
        <v>15</v>
      </c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 t="s">
        <v>15</v>
      </c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 t="s">
        <v>15</v>
      </c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</row>
    <row r="24" spans="1:144" s="24" customFormat="1" ht="44.25" customHeight="1">
      <c r="A24" s="127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3"/>
      <c r="AD24" s="213"/>
      <c r="AE24" s="213"/>
      <c r="AF24" s="213"/>
      <c r="AG24" s="213"/>
      <c r="AH24" s="213"/>
      <c r="AI24" s="124"/>
      <c r="AJ24" s="124"/>
      <c r="AK24" s="124"/>
      <c r="AL24" s="115"/>
      <c r="AM24" s="115"/>
      <c r="AN24" s="116"/>
      <c r="AO24" s="116"/>
      <c r="AP24" s="116"/>
      <c r="AQ24" s="116"/>
      <c r="AR24" s="116"/>
      <c r="AS24" s="116"/>
      <c r="AT24" s="116"/>
      <c r="AU24" s="204">
        <f t="shared" si="0"/>
        <v>0</v>
      </c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123"/>
      <c r="BG24" s="123"/>
      <c r="BH24" s="123"/>
      <c r="BI24" s="123"/>
      <c r="BJ24" s="123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123"/>
      <c r="CR24" s="123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</row>
    <row r="25" spans="1:144" s="24" customFormat="1" ht="30" customHeight="1">
      <c r="A25" s="127"/>
      <c r="B25" s="232" t="s">
        <v>58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4"/>
      <c r="AC25" s="223" t="s">
        <v>63</v>
      </c>
      <c r="AD25" s="224"/>
      <c r="AE25" s="224"/>
      <c r="AF25" s="224"/>
      <c r="AG25" s="224"/>
      <c r="AH25" s="224"/>
      <c r="AI25" s="224"/>
      <c r="AJ25" s="224"/>
      <c r="AK25" s="225"/>
      <c r="AL25" s="218" t="s">
        <v>59</v>
      </c>
      <c r="AM25" s="218"/>
      <c r="AN25" s="218"/>
      <c r="AO25" s="218"/>
      <c r="AP25" s="218"/>
      <c r="AQ25" s="218"/>
      <c r="AR25" s="218"/>
      <c r="AS25" s="218"/>
      <c r="AT25" s="218"/>
      <c r="AU25" s="204">
        <f t="shared" si="0"/>
        <v>9110000</v>
      </c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11">
        <f>SUM(BK27:BZ34)</f>
        <v>6980000</v>
      </c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>
        <f>SUM(CA27:CP29)</f>
        <v>0</v>
      </c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04"/>
      <c r="CR25" s="204"/>
      <c r="CS25" s="211">
        <f>SUM(CS27:DH29)</f>
        <v>0</v>
      </c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>
        <f>SUM(DI27:DX34)</f>
        <v>2130000</v>
      </c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>
        <f>SUM(DY27:EN29)</f>
        <v>0</v>
      </c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</row>
    <row r="26" spans="1:144" s="24" customFormat="1" ht="15" customHeight="1">
      <c r="A26" s="127"/>
      <c r="B26" s="220" t="s">
        <v>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6"/>
      <c r="AD26" s="227"/>
      <c r="AE26" s="227"/>
      <c r="AF26" s="227"/>
      <c r="AG26" s="227"/>
      <c r="AH26" s="227"/>
      <c r="AI26" s="227"/>
      <c r="AJ26" s="227"/>
      <c r="AK26" s="228"/>
      <c r="AL26" s="213" t="s">
        <v>15</v>
      </c>
      <c r="AM26" s="213"/>
      <c r="AN26" s="213"/>
      <c r="AO26" s="213"/>
      <c r="AP26" s="213"/>
      <c r="AQ26" s="213"/>
      <c r="AR26" s="213"/>
      <c r="AS26" s="213"/>
      <c r="AT26" s="213"/>
      <c r="AU26" s="212" t="s">
        <v>15</v>
      </c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05" t="s">
        <v>15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12" t="s">
        <v>15</v>
      </c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05" t="s">
        <v>15</v>
      </c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 t="s">
        <v>15</v>
      </c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 t="s">
        <v>15</v>
      </c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</row>
    <row r="27" spans="1:144" s="24" customFormat="1" ht="32.25" customHeight="1">
      <c r="A27" s="127"/>
      <c r="B27" s="220" t="s">
        <v>60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2"/>
      <c r="AC27" s="226"/>
      <c r="AD27" s="227"/>
      <c r="AE27" s="227"/>
      <c r="AF27" s="227"/>
      <c r="AG27" s="227"/>
      <c r="AH27" s="227"/>
      <c r="AI27" s="227"/>
      <c r="AJ27" s="227"/>
      <c r="AK27" s="228"/>
      <c r="AL27" s="115" t="s">
        <v>110</v>
      </c>
      <c r="AM27" s="115" t="s">
        <v>124</v>
      </c>
      <c r="AN27" s="116"/>
      <c r="AO27" s="116"/>
      <c r="AP27" s="116"/>
      <c r="AQ27" s="116"/>
      <c r="AR27" s="116"/>
      <c r="AS27" s="116"/>
      <c r="AT27" s="116"/>
      <c r="AU27" s="204">
        <f aca="true" t="shared" si="1" ref="AU27:AU37">BK27+CA27+CS27+DI27+DY27</f>
        <v>5550000</v>
      </c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5">
        <v>5500000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4"/>
      <c r="CR27" s="204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>
        <v>50000</v>
      </c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</row>
    <row r="28" spans="1:144" s="24" customFormat="1" ht="27" customHeight="1">
      <c r="A28" s="220" t="s">
        <v>61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  <c r="AC28" s="226"/>
      <c r="AD28" s="227"/>
      <c r="AE28" s="227"/>
      <c r="AF28" s="227"/>
      <c r="AG28" s="227"/>
      <c r="AH28" s="227"/>
      <c r="AI28" s="227"/>
      <c r="AJ28" s="227"/>
      <c r="AK28" s="228"/>
      <c r="AL28" s="115" t="s">
        <v>111</v>
      </c>
      <c r="AM28" s="115" t="s">
        <v>124</v>
      </c>
      <c r="AN28" s="116"/>
      <c r="AO28" s="116"/>
      <c r="AP28" s="116"/>
      <c r="AQ28" s="116"/>
      <c r="AR28" s="116"/>
      <c r="AS28" s="116"/>
      <c r="AT28" s="116"/>
      <c r="AU28" s="204">
        <f t="shared" si="1"/>
        <v>1260000</v>
      </c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5">
        <v>780000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4"/>
      <c r="CR28" s="204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>
        <v>480000</v>
      </c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</row>
    <row r="29" spans="1:144" s="24" customFormat="1" ht="15" customHeight="1">
      <c r="A29" s="220" t="s">
        <v>62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2"/>
      <c r="AC29" s="226"/>
      <c r="AD29" s="227"/>
      <c r="AE29" s="227"/>
      <c r="AF29" s="227"/>
      <c r="AG29" s="227"/>
      <c r="AH29" s="227"/>
      <c r="AI29" s="227"/>
      <c r="AJ29" s="227"/>
      <c r="AK29" s="228"/>
      <c r="AL29" s="115" t="s">
        <v>112</v>
      </c>
      <c r="AM29" s="115" t="s">
        <v>124</v>
      </c>
      <c r="AN29" s="116"/>
      <c r="AO29" s="116"/>
      <c r="AP29" s="116"/>
      <c r="AQ29" s="116"/>
      <c r="AR29" s="116"/>
      <c r="AS29" s="116"/>
      <c r="AT29" s="116"/>
      <c r="AU29" s="204">
        <f t="shared" si="1"/>
        <v>850000</v>
      </c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5">
        <v>200000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4"/>
      <c r="CR29" s="204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>
        <v>650000</v>
      </c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</row>
    <row r="30" spans="1:144" s="24" customFormat="1" ht="15" customHeigh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9"/>
      <c r="AC30" s="226"/>
      <c r="AD30" s="227"/>
      <c r="AE30" s="227"/>
      <c r="AF30" s="227"/>
      <c r="AG30" s="227"/>
      <c r="AH30" s="227"/>
      <c r="AI30" s="227"/>
      <c r="AJ30" s="227"/>
      <c r="AK30" s="228"/>
      <c r="AL30" s="115" t="s">
        <v>309</v>
      </c>
      <c r="AM30" s="115" t="s">
        <v>124</v>
      </c>
      <c r="AN30" s="116"/>
      <c r="AO30" s="116"/>
      <c r="AP30" s="116"/>
      <c r="AQ30" s="116"/>
      <c r="AR30" s="116"/>
      <c r="AS30" s="116"/>
      <c r="AT30" s="116"/>
      <c r="AU30" s="204">
        <f>BK30+CA30+CS30+DI30+DY30</f>
        <v>650000</v>
      </c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5">
        <v>500000</v>
      </c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4"/>
      <c r="CR30" s="204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>
        <v>150000</v>
      </c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125"/>
      <c r="EM30" s="125"/>
      <c r="EN30" s="125"/>
    </row>
    <row r="31" spans="1:144" s="24" customFormat="1" ht="1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9"/>
      <c r="AC31" s="226"/>
      <c r="AD31" s="227"/>
      <c r="AE31" s="227"/>
      <c r="AF31" s="227"/>
      <c r="AG31" s="227"/>
      <c r="AH31" s="227"/>
      <c r="AI31" s="227"/>
      <c r="AJ31" s="227"/>
      <c r="AK31" s="228"/>
      <c r="AL31" s="115" t="s">
        <v>310</v>
      </c>
      <c r="AM31" s="115" t="s">
        <v>124</v>
      </c>
      <c r="AN31" s="116"/>
      <c r="AO31" s="116"/>
      <c r="AP31" s="116"/>
      <c r="AQ31" s="116"/>
      <c r="AR31" s="116"/>
      <c r="AS31" s="116"/>
      <c r="AT31" s="116"/>
      <c r="AU31" s="204">
        <f>BK31+CA31+CS31+DI31+DY31</f>
        <v>600000</v>
      </c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5">
        <v>0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4"/>
      <c r="CR31" s="204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>
        <f>100000+500000</f>
        <v>600000</v>
      </c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125"/>
      <c r="EM31" s="125"/>
      <c r="EN31" s="125"/>
    </row>
    <row r="32" spans="1:144" s="24" customFormat="1" ht="1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226"/>
      <c r="AD32" s="227"/>
      <c r="AE32" s="227"/>
      <c r="AF32" s="227"/>
      <c r="AG32" s="227"/>
      <c r="AH32" s="227"/>
      <c r="AI32" s="227"/>
      <c r="AJ32" s="227"/>
      <c r="AK32" s="228"/>
      <c r="AL32" s="115" t="s">
        <v>113</v>
      </c>
      <c r="AM32" s="115" t="s">
        <v>124</v>
      </c>
      <c r="AN32" s="116"/>
      <c r="AO32" s="116"/>
      <c r="AP32" s="116"/>
      <c r="AQ32" s="116"/>
      <c r="AR32" s="116"/>
      <c r="AS32" s="116"/>
      <c r="AT32" s="116"/>
      <c r="AU32" s="204">
        <f>BK32+CA32+CS32+DI32+DY32</f>
        <v>50000</v>
      </c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5">
        <v>0</v>
      </c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4"/>
      <c r="CR32" s="204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>
        <v>50000</v>
      </c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125"/>
      <c r="EM32" s="125"/>
      <c r="EN32" s="125"/>
    </row>
    <row r="33" spans="1:144" s="24" customFormat="1" ht="1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9"/>
      <c r="AC33" s="226"/>
      <c r="AD33" s="227"/>
      <c r="AE33" s="227"/>
      <c r="AF33" s="227"/>
      <c r="AG33" s="227"/>
      <c r="AH33" s="227"/>
      <c r="AI33" s="227"/>
      <c r="AJ33" s="227"/>
      <c r="AK33" s="228"/>
      <c r="AL33" s="115" t="s">
        <v>123</v>
      </c>
      <c r="AM33" s="115" t="s">
        <v>124</v>
      </c>
      <c r="AN33" s="116"/>
      <c r="AO33" s="116"/>
      <c r="AP33" s="116"/>
      <c r="AQ33" s="116"/>
      <c r="AR33" s="116"/>
      <c r="AS33" s="116"/>
      <c r="AT33" s="116"/>
      <c r="AU33" s="204">
        <f>BK33+CA33+CS33+DI33+DY33</f>
        <v>100000</v>
      </c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5">
        <v>0</v>
      </c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4"/>
      <c r="CR33" s="204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>
        <v>100000</v>
      </c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125"/>
      <c r="EM33" s="125"/>
      <c r="EN33" s="125"/>
    </row>
    <row r="34" spans="1:144" s="24" customFormat="1" ht="1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9"/>
      <c r="AC34" s="229"/>
      <c r="AD34" s="230"/>
      <c r="AE34" s="230"/>
      <c r="AF34" s="230"/>
      <c r="AG34" s="230"/>
      <c r="AH34" s="230"/>
      <c r="AI34" s="230"/>
      <c r="AJ34" s="230"/>
      <c r="AK34" s="231"/>
      <c r="AL34" s="115" t="s">
        <v>311</v>
      </c>
      <c r="AM34" s="115" t="s">
        <v>124</v>
      </c>
      <c r="AN34" s="116"/>
      <c r="AO34" s="116"/>
      <c r="AP34" s="116"/>
      <c r="AQ34" s="116"/>
      <c r="AR34" s="116"/>
      <c r="AS34" s="116"/>
      <c r="AT34" s="116"/>
      <c r="AU34" s="204">
        <f>BK34+CA34+CS34+DI34+DY34</f>
        <v>50000</v>
      </c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5">
        <v>0</v>
      </c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4"/>
      <c r="CR34" s="204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>
        <v>50000</v>
      </c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125"/>
      <c r="EM34" s="125"/>
      <c r="EN34" s="125"/>
    </row>
    <row r="35" spans="1:144" s="24" customFormat="1" ht="37.5" customHeight="1">
      <c r="A35" s="127"/>
      <c r="B35" s="214" t="s">
        <v>127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3">
        <v>240</v>
      </c>
      <c r="AD35" s="213"/>
      <c r="AE35" s="213"/>
      <c r="AF35" s="213"/>
      <c r="AG35" s="213"/>
      <c r="AH35" s="213"/>
      <c r="AI35" s="126"/>
      <c r="AJ35" s="126"/>
      <c r="AK35" s="126"/>
      <c r="AL35" s="121"/>
      <c r="AM35" s="121"/>
      <c r="AN35" s="116"/>
      <c r="AO35" s="116"/>
      <c r="AP35" s="116"/>
      <c r="AQ35" s="116"/>
      <c r="AR35" s="116"/>
      <c r="AS35" s="116"/>
      <c r="AT35" s="116"/>
      <c r="AU35" s="204">
        <f t="shared" si="1"/>
        <v>0</v>
      </c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123"/>
      <c r="BG35" s="123"/>
      <c r="BH35" s="123"/>
      <c r="BI35" s="123"/>
      <c r="BJ35" s="123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123"/>
      <c r="CR35" s="123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</row>
    <row r="36" spans="1:144" s="24" customFormat="1" ht="44.25" customHeight="1">
      <c r="A36" s="127"/>
      <c r="B36" s="214" t="s">
        <v>126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3">
        <v>250</v>
      </c>
      <c r="AD36" s="213"/>
      <c r="AE36" s="213"/>
      <c r="AF36" s="213"/>
      <c r="AG36" s="213"/>
      <c r="AH36" s="213"/>
      <c r="AI36" s="126"/>
      <c r="AJ36" s="126"/>
      <c r="AK36" s="126"/>
      <c r="AL36" s="128"/>
      <c r="AM36" s="128"/>
      <c r="AN36" s="116"/>
      <c r="AO36" s="116"/>
      <c r="AP36" s="116"/>
      <c r="AQ36" s="116"/>
      <c r="AR36" s="116"/>
      <c r="AS36" s="116"/>
      <c r="AT36" s="116"/>
      <c r="AU36" s="204">
        <f t="shared" si="1"/>
        <v>0</v>
      </c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123"/>
      <c r="BG36" s="123"/>
      <c r="BH36" s="123"/>
      <c r="BI36" s="123"/>
      <c r="BJ36" s="123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123"/>
      <c r="CR36" s="123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</row>
    <row r="37" spans="1:144" s="5" customFormat="1" ht="24.75" customHeight="1">
      <c r="A37" s="127"/>
      <c r="B37" s="214" t="s">
        <v>65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23" t="s">
        <v>71</v>
      </c>
      <c r="AD37" s="224"/>
      <c r="AE37" s="224"/>
      <c r="AF37" s="224"/>
      <c r="AG37" s="224"/>
      <c r="AH37" s="224"/>
      <c r="AI37" s="224"/>
      <c r="AJ37" s="224"/>
      <c r="AK37" s="225"/>
      <c r="AL37" s="218" t="s">
        <v>64</v>
      </c>
      <c r="AM37" s="218"/>
      <c r="AN37" s="218"/>
      <c r="AO37" s="218"/>
      <c r="AP37" s="218"/>
      <c r="AQ37" s="218"/>
      <c r="AR37" s="218"/>
      <c r="AS37" s="218"/>
      <c r="AT37" s="218"/>
      <c r="AU37" s="204">
        <f t="shared" si="1"/>
        <v>180703165.15</v>
      </c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11">
        <f>SUM(BK39:BZ48)</f>
        <v>83635173.32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>
        <f>SUM(CA39:CP49)</f>
        <v>41952189.38</v>
      </c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04"/>
      <c r="CR37" s="204"/>
      <c r="CS37" s="211">
        <f>SUM(CS39:DH48)</f>
        <v>19315802.45</v>
      </c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>
        <f>SUM(DI39:DX48)</f>
        <v>35800000</v>
      </c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>
        <f>SUM(DY39:EN48)</f>
        <v>0</v>
      </c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</row>
    <row r="38" spans="1:144" s="5" customFormat="1" ht="15">
      <c r="A38" s="127"/>
      <c r="B38" s="206" t="s">
        <v>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26"/>
      <c r="AD38" s="227"/>
      <c r="AE38" s="227"/>
      <c r="AF38" s="227"/>
      <c r="AG38" s="227"/>
      <c r="AH38" s="227"/>
      <c r="AI38" s="227"/>
      <c r="AJ38" s="227"/>
      <c r="AK38" s="228"/>
      <c r="AL38" s="213" t="s">
        <v>15</v>
      </c>
      <c r="AM38" s="213"/>
      <c r="AN38" s="213"/>
      <c r="AO38" s="213"/>
      <c r="AP38" s="213"/>
      <c r="AQ38" s="213"/>
      <c r="AR38" s="213"/>
      <c r="AS38" s="213"/>
      <c r="AT38" s="213"/>
      <c r="AU38" s="212" t="s">
        <v>15</v>
      </c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05" t="s">
        <v>15</v>
      </c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12" t="s">
        <v>15</v>
      </c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05" t="s">
        <v>15</v>
      </c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 t="s">
        <v>15</v>
      </c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 t="s">
        <v>15</v>
      </c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</row>
    <row r="39" spans="1:144" s="5" customFormat="1" ht="15">
      <c r="A39" s="127"/>
      <c r="B39" s="206" t="s">
        <v>66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26"/>
      <c r="AD39" s="227"/>
      <c r="AE39" s="227"/>
      <c r="AF39" s="227"/>
      <c r="AG39" s="227"/>
      <c r="AH39" s="227"/>
      <c r="AI39" s="227"/>
      <c r="AJ39" s="227"/>
      <c r="AK39" s="228"/>
      <c r="AL39" s="115" t="s">
        <v>187</v>
      </c>
      <c r="AM39" s="115" t="s">
        <v>117</v>
      </c>
      <c r="AN39" s="116"/>
      <c r="AO39" s="116"/>
      <c r="AP39" s="116"/>
      <c r="AQ39" s="116"/>
      <c r="AR39" s="116"/>
      <c r="AS39" s="116"/>
      <c r="AT39" s="116"/>
      <c r="AU39" s="204">
        <f>BK39+CA39+CS39+DI39+DY39</f>
        <v>3140000</v>
      </c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5">
        <v>2100000</v>
      </c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>
        <v>240000</v>
      </c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4"/>
      <c r="CR39" s="204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>
        <v>800000</v>
      </c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</row>
    <row r="40" spans="1:144" s="5" customFormat="1" ht="15">
      <c r="A40" s="127"/>
      <c r="B40" s="206" t="s">
        <v>67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26"/>
      <c r="AD40" s="227"/>
      <c r="AE40" s="227"/>
      <c r="AF40" s="227"/>
      <c r="AG40" s="227"/>
      <c r="AH40" s="227"/>
      <c r="AI40" s="227"/>
      <c r="AJ40" s="227"/>
      <c r="AK40" s="228"/>
      <c r="AL40" s="115" t="s">
        <v>113</v>
      </c>
      <c r="AM40" s="115" t="s">
        <v>114</v>
      </c>
      <c r="AN40" s="116"/>
      <c r="AO40" s="116"/>
      <c r="AP40" s="116"/>
      <c r="AQ40" s="116"/>
      <c r="AR40" s="116"/>
      <c r="AS40" s="116"/>
      <c r="AT40" s="116"/>
      <c r="AU40" s="204">
        <f>BK40+CA40+CS40+DI40+DY40</f>
        <v>300000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5">
        <v>100000</v>
      </c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4"/>
      <c r="CR40" s="204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>
        <v>200000</v>
      </c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</row>
    <row r="41" spans="1:144" s="5" customFormat="1" ht="15">
      <c r="A41" s="127"/>
      <c r="B41" s="206" t="s">
        <v>68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26"/>
      <c r="AD41" s="227"/>
      <c r="AE41" s="227"/>
      <c r="AF41" s="227"/>
      <c r="AG41" s="227"/>
      <c r="AH41" s="227"/>
      <c r="AI41" s="227"/>
      <c r="AJ41" s="227"/>
      <c r="AK41" s="228"/>
      <c r="AL41" s="115" t="s">
        <v>113</v>
      </c>
      <c r="AM41" s="115" t="s">
        <v>118</v>
      </c>
      <c r="AN41" s="116"/>
      <c r="AO41" s="116"/>
      <c r="AP41" s="116"/>
      <c r="AQ41" s="116"/>
      <c r="AR41" s="116"/>
      <c r="AS41" s="116"/>
      <c r="AT41" s="116"/>
      <c r="AU41" s="204">
        <f>BK41+CA41+CS41+DI41+DY41</f>
        <v>21927173.32</v>
      </c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5">
        <f>15127172.06+1.26</f>
        <v>15127173.32</v>
      </c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4"/>
      <c r="CR41" s="204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>
        <v>6800000</v>
      </c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</row>
    <row r="42" spans="1:144" s="5" customFormat="1" ht="15">
      <c r="A42" s="127"/>
      <c r="B42" s="206" t="s">
        <v>116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26"/>
      <c r="AD42" s="227"/>
      <c r="AE42" s="227"/>
      <c r="AF42" s="227"/>
      <c r="AG42" s="227"/>
      <c r="AH42" s="227"/>
      <c r="AI42" s="227"/>
      <c r="AJ42" s="227"/>
      <c r="AK42" s="228"/>
      <c r="AL42" s="115" t="s">
        <v>113</v>
      </c>
      <c r="AM42" s="115" t="s">
        <v>119</v>
      </c>
      <c r="AN42" s="116"/>
      <c r="AO42" s="116"/>
      <c r="AP42" s="116"/>
      <c r="AQ42" s="116"/>
      <c r="AR42" s="116"/>
      <c r="AS42" s="116"/>
      <c r="AT42" s="116"/>
      <c r="AU42" s="204">
        <f>BK42+CA42+CS42+DI42+DY42</f>
        <v>1000000</v>
      </c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123"/>
      <c r="BG42" s="123"/>
      <c r="BH42" s="123"/>
      <c r="BI42" s="123"/>
      <c r="BJ42" s="123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125"/>
      <c r="BZ42" s="12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123"/>
      <c r="CR42" s="123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125"/>
      <c r="DH42" s="125"/>
      <c r="DI42" s="205">
        <v>1000000</v>
      </c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125"/>
      <c r="DW42" s="125"/>
      <c r="DX42" s="125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125"/>
      <c r="EM42" s="125"/>
      <c r="EN42" s="125"/>
    </row>
    <row r="43" spans="1:144" s="5" customFormat="1" ht="30" customHeight="1">
      <c r="A43" s="127"/>
      <c r="B43" s="206" t="s">
        <v>69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26"/>
      <c r="AD43" s="227"/>
      <c r="AE43" s="227"/>
      <c r="AF43" s="227"/>
      <c r="AG43" s="227"/>
      <c r="AH43" s="227"/>
      <c r="AI43" s="227"/>
      <c r="AJ43" s="227"/>
      <c r="AK43" s="228"/>
      <c r="AL43" s="115" t="s">
        <v>115</v>
      </c>
      <c r="AM43" s="115" t="s">
        <v>120</v>
      </c>
      <c r="AN43" s="116"/>
      <c r="AO43" s="116"/>
      <c r="AP43" s="116"/>
      <c r="AQ43" s="116"/>
      <c r="AR43" s="116"/>
      <c r="AS43" s="116"/>
      <c r="AT43" s="116"/>
      <c r="AU43" s="204">
        <f aca="true" t="shared" si="2" ref="AU43:AU50">BK43+CA43+CS43+DI43+DY43</f>
        <v>0</v>
      </c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4"/>
      <c r="CR43" s="204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</row>
    <row r="44" spans="1:144" s="5" customFormat="1" ht="30" customHeight="1">
      <c r="A44" s="127"/>
      <c r="B44" s="206" t="s">
        <v>69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26"/>
      <c r="AD44" s="227"/>
      <c r="AE44" s="227"/>
      <c r="AF44" s="227"/>
      <c r="AG44" s="227"/>
      <c r="AH44" s="227"/>
      <c r="AI44" s="227"/>
      <c r="AJ44" s="227"/>
      <c r="AK44" s="228"/>
      <c r="AL44" s="115" t="s">
        <v>113</v>
      </c>
      <c r="AM44" s="115" t="s">
        <v>120</v>
      </c>
      <c r="AN44" s="116"/>
      <c r="AO44" s="116"/>
      <c r="AP44" s="116"/>
      <c r="AQ44" s="116"/>
      <c r="AR44" s="116"/>
      <c r="AS44" s="116"/>
      <c r="AT44" s="116"/>
      <c r="AU44" s="204">
        <f t="shared" si="2"/>
        <v>30600000</v>
      </c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5">
        <v>21390000</v>
      </c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>
        <f>3900000</f>
        <v>3900000</v>
      </c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4"/>
      <c r="CR44" s="204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>
        <v>5310000</v>
      </c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</row>
    <row r="45" spans="1:171" s="5" customFormat="1" ht="15" customHeight="1">
      <c r="A45" s="127"/>
      <c r="B45" s="206" t="s">
        <v>70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26"/>
      <c r="AD45" s="227"/>
      <c r="AE45" s="227"/>
      <c r="AF45" s="227"/>
      <c r="AG45" s="227"/>
      <c r="AH45" s="227"/>
      <c r="AI45" s="227"/>
      <c r="AJ45" s="227"/>
      <c r="AK45" s="228"/>
      <c r="AL45" s="115" t="s">
        <v>113</v>
      </c>
      <c r="AM45" s="115" t="s">
        <v>121</v>
      </c>
      <c r="AN45" s="116"/>
      <c r="AO45" s="116"/>
      <c r="AP45" s="116"/>
      <c r="AQ45" s="116"/>
      <c r="AR45" s="116"/>
      <c r="AS45" s="116"/>
      <c r="AT45" s="116"/>
      <c r="AU45" s="204">
        <f t="shared" si="2"/>
        <v>67780270</v>
      </c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5">
        <v>34210000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>
        <f>2160000+5800000+8283670+1080000-1500000+386600</f>
        <v>16210270</v>
      </c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4"/>
      <c r="CR45" s="204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>
        <v>17360000</v>
      </c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  <c r="FO45" s="5" t="s">
        <v>589</v>
      </c>
    </row>
    <row r="46" spans="1:144" s="5" customFormat="1" ht="15" customHeight="1">
      <c r="A46" s="127"/>
      <c r="B46" s="206" t="s">
        <v>308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26"/>
      <c r="AD46" s="227"/>
      <c r="AE46" s="227"/>
      <c r="AF46" s="227"/>
      <c r="AG46" s="227"/>
      <c r="AH46" s="227"/>
      <c r="AI46" s="227"/>
      <c r="AJ46" s="227"/>
      <c r="AK46" s="228"/>
      <c r="AL46" s="115" t="s">
        <v>113</v>
      </c>
      <c r="AM46" s="115" t="s">
        <v>124</v>
      </c>
      <c r="AN46" s="116"/>
      <c r="AO46" s="116"/>
      <c r="AP46" s="116"/>
      <c r="AQ46" s="116"/>
      <c r="AR46" s="116"/>
      <c r="AS46" s="116"/>
      <c r="AT46" s="116"/>
      <c r="AU46" s="204">
        <f t="shared" si="2"/>
        <v>0</v>
      </c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4"/>
      <c r="CR46" s="204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</row>
    <row r="47" spans="1:144" s="5" customFormat="1" ht="25.5" customHeight="1">
      <c r="A47" s="127"/>
      <c r="B47" s="206" t="s">
        <v>72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26"/>
      <c r="AD47" s="227"/>
      <c r="AE47" s="227"/>
      <c r="AF47" s="227"/>
      <c r="AG47" s="227"/>
      <c r="AH47" s="227"/>
      <c r="AI47" s="227"/>
      <c r="AJ47" s="227"/>
      <c r="AK47" s="228"/>
      <c r="AL47" s="115" t="s">
        <v>113</v>
      </c>
      <c r="AM47" s="115" t="s">
        <v>122</v>
      </c>
      <c r="AN47" s="116"/>
      <c r="AO47" s="116"/>
      <c r="AP47" s="116"/>
      <c r="AQ47" s="116"/>
      <c r="AR47" s="116"/>
      <c r="AS47" s="116"/>
      <c r="AT47" s="116"/>
      <c r="AU47" s="204">
        <f t="shared" si="2"/>
        <v>21315802.45</v>
      </c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5">
        <v>1000000</v>
      </c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04"/>
      <c r="CR47" s="204"/>
      <c r="CS47" s="205">
        <f>13394000+2000000+3921802.45</f>
        <v>19315802.45</v>
      </c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>
        <v>1000000</v>
      </c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</row>
    <row r="48" spans="1:172" s="5" customFormat="1" ht="27" customHeight="1">
      <c r="A48" s="127"/>
      <c r="B48" s="206" t="s">
        <v>73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26"/>
      <c r="AD48" s="227"/>
      <c r="AE48" s="227"/>
      <c r="AF48" s="227"/>
      <c r="AG48" s="227"/>
      <c r="AH48" s="227"/>
      <c r="AI48" s="227"/>
      <c r="AJ48" s="227"/>
      <c r="AK48" s="228"/>
      <c r="AL48" s="115" t="s">
        <v>113</v>
      </c>
      <c r="AM48" s="115" t="s">
        <v>123</v>
      </c>
      <c r="AN48" s="116"/>
      <c r="AO48" s="116"/>
      <c r="AP48" s="116"/>
      <c r="AQ48" s="116"/>
      <c r="AR48" s="116"/>
      <c r="AS48" s="116"/>
      <c r="AT48" s="116"/>
      <c r="AU48" s="204">
        <f t="shared" si="2"/>
        <v>15818455.22</v>
      </c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5">
        <v>9708000</v>
      </c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12">
        <f>380455.22+200000+1500000+700000</f>
        <v>2780455.22</v>
      </c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04"/>
      <c r="CR48" s="204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>
        <v>3330000</v>
      </c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FP48" s="5" t="s">
        <v>590</v>
      </c>
    </row>
    <row r="49" spans="1:144" s="5" customFormat="1" ht="27" customHeight="1">
      <c r="A49" s="130"/>
      <c r="B49" s="206" t="s">
        <v>587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29"/>
      <c r="AD49" s="230"/>
      <c r="AE49" s="230"/>
      <c r="AF49" s="230"/>
      <c r="AG49" s="230"/>
      <c r="AH49" s="230"/>
      <c r="AI49" s="230"/>
      <c r="AJ49" s="230"/>
      <c r="AK49" s="231"/>
      <c r="AL49" s="115" t="s">
        <v>115</v>
      </c>
      <c r="AM49" s="115" t="s">
        <v>120</v>
      </c>
      <c r="AN49" s="116"/>
      <c r="AO49" s="116"/>
      <c r="AP49" s="116"/>
      <c r="AQ49" s="116"/>
      <c r="AR49" s="116"/>
      <c r="AS49" s="116"/>
      <c r="AT49" s="116"/>
      <c r="AU49" s="204">
        <f>BK49+CA49+CS49+DI49</f>
        <v>18821464.16</v>
      </c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12">
        <f>9758078.86+9063385.3</f>
        <v>18821464.16</v>
      </c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04"/>
      <c r="CR49" s="204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129"/>
      <c r="EM49" s="129"/>
      <c r="EN49" s="129"/>
    </row>
    <row r="50" spans="1:172" s="5" customFormat="1" ht="27" customHeight="1">
      <c r="A50" s="127"/>
      <c r="B50" s="206" t="s">
        <v>210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13">
        <v>300</v>
      </c>
      <c r="AD50" s="213"/>
      <c r="AE50" s="213"/>
      <c r="AF50" s="213"/>
      <c r="AG50" s="213"/>
      <c r="AH50" s="213"/>
      <c r="AI50" s="124"/>
      <c r="AJ50" s="124"/>
      <c r="AK50" s="124"/>
      <c r="AL50" s="115" t="s">
        <v>216</v>
      </c>
      <c r="AM50" s="115" t="s">
        <v>216</v>
      </c>
      <c r="AN50" s="116"/>
      <c r="AO50" s="116"/>
      <c r="AP50" s="116"/>
      <c r="AQ50" s="116"/>
      <c r="AR50" s="116"/>
      <c r="AS50" s="116"/>
      <c r="AT50" s="116"/>
      <c r="AU50" s="204">
        <f t="shared" si="2"/>
        <v>631000870</v>
      </c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11">
        <f>BK52</f>
        <v>441000870</v>
      </c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04">
        <f>SUM(CA52:CP53)</f>
        <v>0</v>
      </c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>
        <f>SUM(CS52:DH53)</f>
        <v>0</v>
      </c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>
        <v>190000000</v>
      </c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>
        <f>SUM(DY52:EN53)</f>
        <v>0</v>
      </c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FP50" s="131">
        <f>1080000+10320455.22+9758078.86+9063385.3+8283670</f>
        <v>38505589.38</v>
      </c>
    </row>
    <row r="51" spans="1:144" s="5" customFormat="1" ht="15">
      <c r="A51" s="127"/>
      <c r="B51" s="206" t="s">
        <v>1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13"/>
      <c r="AD51" s="213"/>
      <c r="AE51" s="213"/>
      <c r="AF51" s="213"/>
      <c r="AG51" s="213"/>
      <c r="AH51" s="213"/>
      <c r="AI51" s="124"/>
      <c r="AJ51" s="124"/>
      <c r="AK51" s="124"/>
      <c r="AL51" s="213" t="s">
        <v>15</v>
      </c>
      <c r="AM51" s="213"/>
      <c r="AN51" s="213"/>
      <c r="AO51" s="213"/>
      <c r="AP51" s="213"/>
      <c r="AQ51" s="213"/>
      <c r="AR51" s="213"/>
      <c r="AS51" s="213"/>
      <c r="AT51" s="213"/>
      <c r="AU51" s="212" t="s">
        <v>15</v>
      </c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05" t="s">
        <v>15</v>
      </c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12" t="s">
        <v>15</v>
      </c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05" t="s">
        <v>15</v>
      </c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 t="s">
        <v>15</v>
      </c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 t="s">
        <v>15</v>
      </c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</row>
    <row r="52" spans="1:174" s="5" customFormat="1" ht="27" customHeight="1">
      <c r="A52" s="127"/>
      <c r="B52" s="206" t="s">
        <v>211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13"/>
      <c r="AD52" s="213"/>
      <c r="AE52" s="213"/>
      <c r="AF52" s="213"/>
      <c r="AG52" s="213"/>
      <c r="AH52" s="213"/>
      <c r="AI52" s="124"/>
      <c r="AJ52" s="124"/>
      <c r="AK52" s="124"/>
      <c r="AL52" s="115" t="s">
        <v>216</v>
      </c>
      <c r="AM52" s="115" t="s">
        <v>216</v>
      </c>
      <c r="AN52" s="116"/>
      <c r="AO52" s="116"/>
      <c r="AP52" s="116"/>
      <c r="AQ52" s="116"/>
      <c r="AR52" s="116"/>
      <c r="AS52" s="116"/>
      <c r="AT52" s="116"/>
      <c r="AU52" s="204">
        <f>BK52+CA52+CS52+DI52+DY52</f>
        <v>631000870</v>
      </c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5">
        <v>441000870</v>
      </c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04"/>
      <c r="CR52" s="204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>
        <v>190000000</v>
      </c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  <c r="FO52" s="5" t="s">
        <v>582</v>
      </c>
      <c r="FR52" s="5">
        <f>9758078.86+9063385.3</f>
        <v>18821464.16</v>
      </c>
    </row>
    <row r="53" spans="1:176" s="5" customFormat="1" ht="27" customHeight="1">
      <c r="A53" s="127"/>
      <c r="B53" s="206" t="s">
        <v>212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13"/>
      <c r="AD53" s="213"/>
      <c r="AE53" s="213"/>
      <c r="AF53" s="213"/>
      <c r="AG53" s="213"/>
      <c r="AH53" s="213"/>
      <c r="AI53" s="124"/>
      <c r="AJ53" s="124"/>
      <c r="AK53" s="124"/>
      <c r="AL53" s="115" t="s">
        <v>216</v>
      </c>
      <c r="AM53" s="115" t="s">
        <v>216</v>
      </c>
      <c r="AN53" s="116"/>
      <c r="AO53" s="116"/>
      <c r="AP53" s="116"/>
      <c r="AQ53" s="116"/>
      <c r="AR53" s="116"/>
      <c r="AS53" s="116"/>
      <c r="AT53" s="116"/>
      <c r="AU53" s="204">
        <f>BK53+CA53+CS53+DI53+DY53</f>
        <v>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04"/>
      <c r="CR53" s="204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FP53" s="5" t="s">
        <v>583</v>
      </c>
      <c r="FR53" s="5">
        <v>240000</v>
      </c>
      <c r="FT53" s="5" t="s">
        <v>584</v>
      </c>
    </row>
    <row r="54" spans="1:178" s="5" customFormat="1" ht="27" customHeight="1">
      <c r="A54" s="127"/>
      <c r="B54" s="206" t="s">
        <v>213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13">
        <v>400</v>
      </c>
      <c r="AD54" s="213"/>
      <c r="AE54" s="213"/>
      <c r="AF54" s="213"/>
      <c r="AG54" s="213"/>
      <c r="AH54" s="213"/>
      <c r="AI54" s="124"/>
      <c r="AJ54" s="124"/>
      <c r="AK54" s="124"/>
      <c r="AL54" s="115" t="s">
        <v>216</v>
      </c>
      <c r="AM54" s="115" t="s">
        <v>216</v>
      </c>
      <c r="AN54" s="116"/>
      <c r="AO54" s="116"/>
      <c r="AP54" s="116"/>
      <c r="AQ54" s="116"/>
      <c r="AR54" s="116"/>
      <c r="AS54" s="116"/>
      <c r="AT54" s="116"/>
      <c r="AU54" s="204">
        <f>BK54+CA54+CS54+DI54+DY54</f>
        <v>0</v>
      </c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11">
        <f>SUM(BK56:BZ57)</f>
        <v>0</v>
      </c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04">
        <f>SUM(CA56:CP57)</f>
        <v>0</v>
      </c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>
        <f>SUM(CS56:DH57)</f>
        <v>0</v>
      </c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>
        <f>SUM(DI56:DX57)</f>
        <v>0</v>
      </c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>
        <f>SUM(DY56:EN57)</f>
        <v>0</v>
      </c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FM54" s="131">
        <v>10320455.22</v>
      </c>
      <c r="FN54" s="131"/>
      <c r="FO54" s="131"/>
      <c r="FP54" s="131"/>
      <c r="FR54" s="5">
        <v>3900000</v>
      </c>
      <c r="FV54" s="5">
        <v>225</v>
      </c>
    </row>
    <row r="55" spans="1:178" s="5" customFormat="1" ht="15">
      <c r="A55" s="127"/>
      <c r="B55" s="206" t="s">
        <v>1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13"/>
      <c r="AD55" s="213"/>
      <c r="AE55" s="213"/>
      <c r="AF55" s="213"/>
      <c r="AG55" s="213"/>
      <c r="AH55" s="213"/>
      <c r="AI55" s="124"/>
      <c r="AJ55" s="124"/>
      <c r="AK55" s="124"/>
      <c r="AL55" s="213" t="s">
        <v>15</v>
      </c>
      <c r="AM55" s="213"/>
      <c r="AN55" s="213"/>
      <c r="AO55" s="213"/>
      <c r="AP55" s="213"/>
      <c r="AQ55" s="213"/>
      <c r="AR55" s="213"/>
      <c r="AS55" s="213"/>
      <c r="AT55" s="213"/>
      <c r="AU55" s="212" t="s">
        <v>15</v>
      </c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05" t="s">
        <v>15</v>
      </c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12" t="s">
        <v>15</v>
      </c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05" t="s">
        <v>15</v>
      </c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 t="s">
        <v>15</v>
      </c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 t="s">
        <v>15</v>
      </c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  <c r="FM55" s="131">
        <f>FM54-FR53-FR54-FR55</f>
        <v>1880455.22</v>
      </c>
      <c r="FN55" s="131"/>
      <c r="FO55" s="131"/>
      <c r="FP55" s="131"/>
      <c r="FR55" s="5">
        <f>5800000-1500000</f>
        <v>4300000</v>
      </c>
      <c r="FV55" s="5">
        <v>226</v>
      </c>
    </row>
    <row r="56" spans="1:178" s="5" customFormat="1" ht="27" customHeight="1">
      <c r="A56" s="127"/>
      <c r="B56" s="206" t="s">
        <v>214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13"/>
      <c r="AD56" s="213"/>
      <c r="AE56" s="213"/>
      <c r="AF56" s="213"/>
      <c r="AG56" s="213"/>
      <c r="AH56" s="213"/>
      <c r="AI56" s="124"/>
      <c r="AJ56" s="124"/>
      <c r="AK56" s="124"/>
      <c r="AL56" s="115" t="s">
        <v>216</v>
      </c>
      <c r="AM56" s="115" t="s">
        <v>216</v>
      </c>
      <c r="AN56" s="116"/>
      <c r="AO56" s="116"/>
      <c r="AP56" s="116"/>
      <c r="AQ56" s="116"/>
      <c r="AR56" s="116"/>
      <c r="AS56" s="116"/>
      <c r="AT56" s="116"/>
      <c r="AU56" s="204">
        <f>BK56+CA56+CS56+DI56+DY56</f>
        <v>0</v>
      </c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04"/>
      <c r="CR56" s="204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  <c r="FR56" s="5">
        <f>380455.22+1500000</f>
        <v>1880455.22</v>
      </c>
      <c r="FV56" s="5">
        <v>340</v>
      </c>
    </row>
    <row r="57" spans="1:178" s="5" customFormat="1" ht="27" customHeight="1">
      <c r="A57" s="127"/>
      <c r="B57" s="206" t="s">
        <v>215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13"/>
      <c r="AD57" s="213"/>
      <c r="AE57" s="213"/>
      <c r="AF57" s="213"/>
      <c r="AG57" s="213"/>
      <c r="AH57" s="213"/>
      <c r="AI57" s="124"/>
      <c r="AJ57" s="124"/>
      <c r="AK57" s="124"/>
      <c r="AL57" s="115" t="s">
        <v>216</v>
      </c>
      <c r="AM57" s="115" t="s">
        <v>216</v>
      </c>
      <c r="AN57" s="116"/>
      <c r="AO57" s="116"/>
      <c r="AP57" s="116"/>
      <c r="AQ57" s="116"/>
      <c r="AR57" s="116"/>
      <c r="AS57" s="116"/>
      <c r="AT57" s="116"/>
      <c r="AU57" s="204">
        <f>BK57+CA57+CS57+DI57+DY57</f>
        <v>0</v>
      </c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04"/>
      <c r="CR57" s="204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5"/>
      <c r="EM57" s="205"/>
      <c r="EN57" s="205"/>
      <c r="FP57" s="5" t="s">
        <v>585</v>
      </c>
      <c r="FR57" s="5">
        <v>8283670</v>
      </c>
      <c r="FV57" s="5">
        <v>226</v>
      </c>
    </row>
    <row r="58" spans="1:178" s="24" customFormat="1" ht="27" customHeight="1">
      <c r="A58" s="127"/>
      <c r="B58" s="214" t="s">
        <v>76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3" t="s">
        <v>74</v>
      </c>
      <c r="AD58" s="213"/>
      <c r="AE58" s="213"/>
      <c r="AF58" s="213"/>
      <c r="AG58" s="213"/>
      <c r="AH58" s="213"/>
      <c r="AI58" s="213"/>
      <c r="AJ58" s="213"/>
      <c r="AK58" s="213"/>
      <c r="AL58" s="213"/>
      <c r="AM58" s="213" t="s">
        <v>15</v>
      </c>
      <c r="AN58" s="213"/>
      <c r="AO58" s="213"/>
      <c r="AP58" s="213"/>
      <c r="AQ58" s="213"/>
      <c r="AR58" s="213"/>
      <c r="AS58" s="213"/>
      <c r="AT58" s="213"/>
      <c r="AU58" s="204">
        <f>BK58+CA58+CS58+DI58+DY58</f>
        <v>91593338.76</v>
      </c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11">
        <v>3756303.32</v>
      </c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04">
        <v>39557914.86</v>
      </c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11">
        <v>0</v>
      </c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>
        <v>48279120.58</v>
      </c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>
        <v>0</v>
      </c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FP58" s="24" t="s">
        <v>586</v>
      </c>
      <c r="FR58" s="24">
        <v>1080000</v>
      </c>
      <c r="FV58" s="24">
        <v>226</v>
      </c>
    </row>
    <row r="59" spans="1:174" s="24" customFormat="1" ht="28.5" customHeight="1">
      <c r="A59" s="127"/>
      <c r="B59" s="214" t="s">
        <v>77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3" t="s">
        <v>75</v>
      </c>
      <c r="AD59" s="213"/>
      <c r="AE59" s="213"/>
      <c r="AF59" s="213"/>
      <c r="AG59" s="213"/>
      <c r="AH59" s="213"/>
      <c r="AI59" s="213"/>
      <c r="AJ59" s="213"/>
      <c r="AK59" s="213"/>
      <c r="AL59" s="213"/>
      <c r="AM59" s="213" t="s">
        <v>15</v>
      </c>
      <c r="AN59" s="213"/>
      <c r="AO59" s="213"/>
      <c r="AP59" s="213"/>
      <c r="AQ59" s="213"/>
      <c r="AR59" s="213"/>
      <c r="AS59" s="213"/>
      <c r="AT59" s="213"/>
      <c r="AU59" s="204">
        <f>BK59+CA59+CS59+DI59+DY59</f>
        <v>23831446.06</v>
      </c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11">
        <f>BK52+BK58-BK16</f>
        <v>0</v>
      </c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04">
        <f>CA58+CA9-CA16</f>
        <v>1052325.48</v>
      </c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11">
        <v>0</v>
      </c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>
        <f>DI52+DI58-DI16</f>
        <v>22779120.58</v>
      </c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>
        <v>0</v>
      </c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FM59" s="132">
        <f>CA58-FP50</f>
        <v>1052325.48</v>
      </c>
      <c r="FP59" s="132">
        <f>FM59-946599.18</f>
        <v>105726.3</v>
      </c>
      <c r="FR59" s="133">
        <f>39452188.56-FP50</f>
        <v>946599.18</v>
      </c>
    </row>
    <row r="62" spans="48:91" ht="20.25"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</row>
  </sheetData>
  <sheetProtection formatCells="0" formatColumns="0" formatRows="0" insertColumns="0" insertRows="0" insertHyperlinks="0" deleteColumns="0" deleteRows="0" sort="0" autoFilter="0" pivotTables="0"/>
  <mergeCells count="455">
    <mergeCell ref="DY49:EK49"/>
    <mergeCell ref="B49:AB49"/>
    <mergeCell ref="AC37:AK49"/>
    <mergeCell ref="AU49:BJ49"/>
    <mergeCell ref="BK49:BZ49"/>
    <mergeCell ref="CA49:CP49"/>
    <mergeCell ref="CQ49:CR49"/>
    <mergeCell ref="CS49:DH49"/>
    <mergeCell ref="DI49:DX49"/>
    <mergeCell ref="DI43:DX43"/>
    <mergeCell ref="CS42:DF42"/>
    <mergeCell ref="DY37:EN37"/>
    <mergeCell ref="DY28:EN28"/>
    <mergeCell ref="DI35:DX35"/>
    <mergeCell ref="DI23:DX23"/>
    <mergeCell ref="DI41:DX41"/>
    <mergeCell ref="DY24:EN24"/>
    <mergeCell ref="DY27:EN27"/>
    <mergeCell ref="DY40:EN40"/>
    <mergeCell ref="DY42:EK42"/>
    <mergeCell ref="CQ43:CR43"/>
    <mergeCell ref="DI39:DX39"/>
    <mergeCell ref="CQ28:CR28"/>
    <mergeCell ref="CS28:DH28"/>
    <mergeCell ref="DY39:EN39"/>
    <mergeCell ref="DI40:DX40"/>
    <mergeCell ref="CQ40:CR40"/>
    <mergeCell ref="DY38:EN38"/>
    <mergeCell ref="DI38:DX38"/>
    <mergeCell ref="DY41:EN41"/>
    <mergeCell ref="CQ41:CR41"/>
    <mergeCell ref="DY29:EN29"/>
    <mergeCell ref="DI21:DX21"/>
    <mergeCell ref="DY21:EN21"/>
    <mergeCell ref="CS21:DH21"/>
    <mergeCell ref="CA25:CP25"/>
    <mergeCell ref="CQ26:CR26"/>
    <mergeCell ref="DY25:EN25"/>
    <mergeCell ref="CA22:CP22"/>
    <mergeCell ref="CA24:CP24"/>
    <mergeCell ref="BE2:BJ2"/>
    <mergeCell ref="BK2:BN2"/>
    <mergeCell ref="BO2:BQ2"/>
    <mergeCell ref="BR2:CI2"/>
    <mergeCell ref="AU5:BJ7"/>
    <mergeCell ref="CA6:CR7"/>
    <mergeCell ref="CJ2:CM2"/>
    <mergeCell ref="CR2:CU2"/>
    <mergeCell ref="AU4:EN4"/>
    <mergeCell ref="DI7:DX7"/>
    <mergeCell ref="DI59:DX59"/>
    <mergeCell ref="DI46:DX46"/>
    <mergeCell ref="CN2:CQ2"/>
    <mergeCell ref="CQ18:CR18"/>
    <mergeCell ref="BK5:EN5"/>
    <mergeCell ref="DI9:DX9"/>
    <mergeCell ref="CA10:CR10"/>
    <mergeCell ref="CA16:CP16"/>
    <mergeCell ref="BK6:BZ7"/>
    <mergeCell ref="CQ16:CR16"/>
    <mergeCell ref="DY43:EN43"/>
    <mergeCell ref="DY44:EN44"/>
    <mergeCell ref="BK43:BZ43"/>
    <mergeCell ref="DY59:EN59"/>
    <mergeCell ref="DY58:EN58"/>
    <mergeCell ref="CQ58:CR58"/>
    <mergeCell ref="CA58:CP58"/>
    <mergeCell ref="DI58:DX58"/>
    <mergeCell ref="CQ59:CR59"/>
    <mergeCell ref="CS59:DH59"/>
    <mergeCell ref="BK16:BZ16"/>
    <mergeCell ref="CA11:CR11"/>
    <mergeCell ref="BK11:BZ11"/>
    <mergeCell ref="DY47:EN47"/>
    <mergeCell ref="CS47:DH47"/>
    <mergeCell ref="DI47:DX47"/>
    <mergeCell ref="CS43:DH43"/>
    <mergeCell ref="BK47:BZ47"/>
    <mergeCell ref="CA47:CP47"/>
    <mergeCell ref="CQ47:CR47"/>
    <mergeCell ref="BK13:BZ13"/>
    <mergeCell ref="DI8:DX8"/>
    <mergeCell ref="CS12:DH12"/>
    <mergeCell ref="DI12:DX12"/>
    <mergeCell ref="CS8:DH8"/>
    <mergeCell ref="CS13:DH13"/>
    <mergeCell ref="DI11:DX11"/>
    <mergeCell ref="DI13:DX13"/>
    <mergeCell ref="CA12:CR12"/>
    <mergeCell ref="DI6:EN6"/>
    <mergeCell ref="CS6:DH7"/>
    <mergeCell ref="CQ21:CR21"/>
    <mergeCell ref="DY7:EN7"/>
    <mergeCell ref="DY8:EN8"/>
    <mergeCell ref="DY9:EN9"/>
    <mergeCell ref="CS14:DH14"/>
    <mergeCell ref="CS11:DH11"/>
    <mergeCell ref="CS10:DH10"/>
    <mergeCell ref="DI10:DX10"/>
    <mergeCell ref="AC14:AK14"/>
    <mergeCell ref="B25:AB25"/>
    <mergeCell ref="B41:AB41"/>
    <mergeCell ref="B37:AB37"/>
    <mergeCell ref="B39:AB39"/>
    <mergeCell ref="B26:AB26"/>
    <mergeCell ref="AC35:AH35"/>
    <mergeCell ref="A29:AB29"/>
    <mergeCell ref="A30:AB30"/>
    <mergeCell ref="A31:AB31"/>
    <mergeCell ref="CA59:CP59"/>
    <mergeCell ref="B58:AB58"/>
    <mergeCell ref="AM58:AT58"/>
    <mergeCell ref="AU58:BJ58"/>
    <mergeCell ref="B40:AB40"/>
    <mergeCell ref="B35:AB35"/>
    <mergeCell ref="B38:AB38"/>
    <mergeCell ref="B45:AB45"/>
    <mergeCell ref="B47:AB47"/>
    <mergeCell ref="AU47:BJ47"/>
    <mergeCell ref="A28:AB28"/>
    <mergeCell ref="B59:AB59"/>
    <mergeCell ref="AC59:AL59"/>
    <mergeCell ref="AC58:AL58"/>
    <mergeCell ref="A32:AB32"/>
    <mergeCell ref="A33:AB33"/>
    <mergeCell ref="B56:AB56"/>
    <mergeCell ref="B50:AB50"/>
    <mergeCell ref="B44:AB44"/>
    <mergeCell ref="AM59:AT59"/>
    <mergeCell ref="AU59:BJ59"/>
    <mergeCell ref="B48:AB48"/>
    <mergeCell ref="CS40:DH40"/>
    <mergeCell ref="DI30:DX30"/>
    <mergeCell ref="CS34:DH34"/>
    <mergeCell ref="BK59:BZ59"/>
    <mergeCell ref="DI45:DX45"/>
    <mergeCell ref="CS45:DH45"/>
    <mergeCell ref="BK58:BZ58"/>
    <mergeCell ref="CS58:DH58"/>
    <mergeCell ref="DI44:DX44"/>
    <mergeCell ref="CS48:DH48"/>
    <mergeCell ref="A8:AB8"/>
    <mergeCell ref="BK10:BZ10"/>
    <mergeCell ref="BK12:BZ12"/>
    <mergeCell ref="CA8:CR8"/>
    <mergeCell ref="AC9:AK9"/>
    <mergeCell ref="DI48:DX48"/>
    <mergeCell ref="CS9:DH9"/>
    <mergeCell ref="DI27:DX27"/>
    <mergeCell ref="CS29:DH29"/>
    <mergeCell ref="AU8:BJ8"/>
    <mergeCell ref="CA9:CR9"/>
    <mergeCell ref="AU9:BJ9"/>
    <mergeCell ref="DI28:DX28"/>
    <mergeCell ref="DI24:DX24"/>
    <mergeCell ref="DI22:DX22"/>
    <mergeCell ref="BK8:BZ8"/>
    <mergeCell ref="BK9:BZ9"/>
    <mergeCell ref="AU10:BJ10"/>
    <mergeCell ref="B11:AB11"/>
    <mergeCell ref="AC11:AK11"/>
    <mergeCell ref="B12:AB12"/>
    <mergeCell ref="AL11:AT11"/>
    <mergeCell ref="B10:AB10"/>
    <mergeCell ref="DY10:EN10"/>
    <mergeCell ref="DY12:EN12"/>
    <mergeCell ref="DY20:EN20"/>
    <mergeCell ref="DY11:EN11"/>
    <mergeCell ref="AU13:BJ13"/>
    <mergeCell ref="AU14:BJ14"/>
    <mergeCell ref="BK18:BZ18"/>
    <mergeCell ref="DI20:DX20"/>
    <mergeCell ref="DY19:EN19"/>
    <mergeCell ref="DI16:DX16"/>
    <mergeCell ref="DY16:EN16"/>
    <mergeCell ref="DI25:DX25"/>
    <mergeCell ref="BK14:BZ14"/>
    <mergeCell ref="AU25:BJ25"/>
    <mergeCell ref="AU19:BJ19"/>
    <mergeCell ref="CS26:DH26"/>
    <mergeCell ref="CA21:CP21"/>
    <mergeCell ref="BK17:BZ17"/>
    <mergeCell ref="CS20:DH20"/>
    <mergeCell ref="CS22:DH22"/>
    <mergeCell ref="CS19:DH19"/>
    <mergeCell ref="CA28:CP28"/>
    <mergeCell ref="CS23:DH23"/>
    <mergeCell ref="CA27:CP27"/>
    <mergeCell ref="DY17:EN17"/>
    <mergeCell ref="DY18:EN18"/>
    <mergeCell ref="DY26:EN26"/>
    <mergeCell ref="DY22:EN22"/>
    <mergeCell ref="CQ17:CR17"/>
    <mergeCell ref="CS25:DH25"/>
    <mergeCell ref="DY13:EN13"/>
    <mergeCell ref="CA13:CR13"/>
    <mergeCell ref="CA14:CR14"/>
    <mergeCell ref="CA23:CP23"/>
    <mergeCell ref="CA20:CP20"/>
    <mergeCell ref="CA17:CP17"/>
    <mergeCell ref="DI17:DX17"/>
    <mergeCell ref="DI18:DX18"/>
    <mergeCell ref="CQ19:CR19"/>
    <mergeCell ref="CS18:DH18"/>
    <mergeCell ref="DY14:EN14"/>
    <mergeCell ref="DI14:DX14"/>
    <mergeCell ref="DI37:DX37"/>
    <mergeCell ref="DI26:DX26"/>
    <mergeCell ref="BK37:BZ37"/>
    <mergeCell ref="DI31:DX31"/>
    <mergeCell ref="CS30:DH30"/>
    <mergeCell ref="CQ30:CR30"/>
    <mergeCell ref="CQ29:CR29"/>
    <mergeCell ref="CQ25:CR25"/>
    <mergeCell ref="DY36:EN36"/>
    <mergeCell ref="AU20:BJ20"/>
    <mergeCell ref="BK28:BZ28"/>
    <mergeCell ref="AU21:BJ21"/>
    <mergeCell ref="DI19:DX19"/>
    <mergeCell ref="CS16:DH16"/>
    <mergeCell ref="CS17:DH17"/>
    <mergeCell ref="CS27:DH27"/>
    <mergeCell ref="DI29:DX29"/>
    <mergeCell ref="CQ23:CR23"/>
    <mergeCell ref="CA18:CP18"/>
    <mergeCell ref="B14:AB14"/>
    <mergeCell ref="AL14:AT14"/>
    <mergeCell ref="AC4:AK7"/>
    <mergeCell ref="AC8:AK8"/>
    <mergeCell ref="AU16:BJ16"/>
    <mergeCell ref="AL12:AT12"/>
    <mergeCell ref="AC12:AK12"/>
    <mergeCell ref="B9:AB9"/>
    <mergeCell ref="AC10:AK10"/>
    <mergeCell ref="BK21:BZ21"/>
    <mergeCell ref="AU26:BJ26"/>
    <mergeCell ref="BK31:BZ31"/>
    <mergeCell ref="BK22:BZ22"/>
    <mergeCell ref="AU32:BJ32"/>
    <mergeCell ref="A4:AB7"/>
    <mergeCell ref="B17:AB17"/>
    <mergeCell ref="AC13:AK13"/>
    <mergeCell ref="AC16:AK16"/>
    <mergeCell ref="B16:AB16"/>
    <mergeCell ref="CS24:DH24"/>
    <mergeCell ref="CQ38:CR38"/>
    <mergeCell ref="AU31:BJ31"/>
    <mergeCell ref="AL25:AT25"/>
    <mergeCell ref="CQ27:CR27"/>
    <mergeCell ref="CS32:DH32"/>
    <mergeCell ref="BK35:BZ35"/>
    <mergeCell ref="BK25:BZ25"/>
    <mergeCell ref="AC36:AH36"/>
    <mergeCell ref="AU36:BE36"/>
    <mergeCell ref="B42:AB42"/>
    <mergeCell ref="AU11:BJ11"/>
    <mergeCell ref="BK19:BZ19"/>
    <mergeCell ref="AL18:AT18"/>
    <mergeCell ref="AL26:AT26"/>
    <mergeCell ref="AC22:AH24"/>
    <mergeCell ref="AU18:BJ18"/>
    <mergeCell ref="BK23:BZ23"/>
    <mergeCell ref="BK41:BZ41"/>
    <mergeCell ref="AU42:BE42"/>
    <mergeCell ref="BK44:BZ44"/>
    <mergeCell ref="B27:AB27"/>
    <mergeCell ref="BK27:BZ27"/>
    <mergeCell ref="AC25:AK34"/>
    <mergeCell ref="AU43:BJ43"/>
    <mergeCell ref="AU30:BJ30"/>
    <mergeCell ref="AU33:BJ33"/>
    <mergeCell ref="AU38:BJ38"/>
    <mergeCell ref="B43:AB43"/>
    <mergeCell ref="B36:AB36"/>
    <mergeCell ref="BK42:BX42"/>
    <mergeCell ref="CA40:CP40"/>
    <mergeCell ref="CA37:CP37"/>
    <mergeCell ref="AU44:BJ44"/>
    <mergeCell ref="BK39:BZ39"/>
    <mergeCell ref="AU39:BJ39"/>
    <mergeCell ref="AU40:BJ40"/>
    <mergeCell ref="AU41:BJ41"/>
    <mergeCell ref="CA19:CP19"/>
    <mergeCell ref="CA39:CP39"/>
    <mergeCell ref="CA38:CP38"/>
    <mergeCell ref="CA36:CP36"/>
    <mergeCell ref="CA41:CP41"/>
    <mergeCell ref="CA42:CP42"/>
    <mergeCell ref="CA31:CP31"/>
    <mergeCell ref="CA29:CP29"/>
    <mergeCell ref="CA35:CP35"/>
    <mergeCell ref="BK20:BZ20"/>
    <mergeCell ref="AU17:BJ17"/>
    <mergeCell ref="AL13:AT13"/>
    <mergeCell ref="AU23:BJ23"/>
    <mergeCell ref="BK36:BZ36"/>
    <mergeCell ref="BK40:BZ40"/>
    <mergeCell ref="BK32:BZ32"/>
    <mergeCell ref="AL37:AT37"/>
    <mergeCell ref="AL38:AT38"/>
    <mergeCell ref="AU37:BJ37"/>
    <mergeCell ref="BK38:BZ38"/>
    <mergeCell ref="BK26:BZ26"/>
    <mergeCell ref="AU35:BE35"/>
    <mergeCell ref="CA34:CP34"/>
    <mergeCell ref="CS39:DH39"/>
    <mergeCell ref="CS41:DH41"/>
    <mergeCell ref="CQ39:CR39"/>
    <mergeCell ref="BK29:BZ29"/>
    <mergeCell ref="CA32:CP32"/>
    <mergeCell ref="CA26:CP26"/>
    <mergeCell ref="B13:AB13"/>
    <mergeCell ref="AL22:AM22"/>
    <mergeCell ref="B19:AB19"/>
    <mergeCell ref="B15:EN15"/>
    <mergeCell ref="AL16:AT16"/>
    <mergeCell ref="B21:AB21"/>
    <mergeCell ref="B20:AB20"/>
    <mergeCell ref="B18:AB18"/>
    <mergeCell ref="AL17:AT17"/>
    <mergeCell ref="CQ20:CR20"/>
    <mergeCell ref="AU12:BJ12"/>
    <mergeCell ref="CA30:CP30"/>
    <mergeCell ref="DY48:EN48"/>
    <mergeCell ref="DY35:EN35"/>
    <mergeCell ref="DY45:EN45"/>
    <mergeCell ref="CS37:DH37"/>
    <mergeCell ref="CS36:DH36"/>
    <mergeCell ref="CQ37:CR37"/>
    <mergeCell ref="CQ48:CR48"/>
    <mergeCell ref="AU48:BJ48"/>
    <mergeCell ref="B23:AB23"/>
    <mergeCell ref="CQ44:CR44"/>
    <mergeCell ref="AL4:AT7"/>
    <mergeCell ref="AL8:AT8"/>
    <mergeCell ref="AL9:AT9"/>
    <mergeCell ref="AL10:AT10"/>
    <mergeCell ref="BK30:BZ30"/>
    <mergeCell ref="AU27:BJ27"/>
    <mergeCell ref="AU34:BJ34"/>
    <mergeCell ref="CQ31:CR31"/>
    <mergeCell ref="BK48:BZ48"/>
    <mergeCell ref="CA48:CP48"/>
    <mergeCell ref="B22:AB22"/>
    <mergeCell ref="AC17:AK21"/>
    <mergeCell ref="B24:AB24"/>
    <mergeCell ref="AU22:BE22"/>
    <mergeCell ref="AU24:BE24"/>
    <mergeCell ref="AL23:AT23"/>
    <mergeCell ref="BK45:BZ45"/>
    <mergeCell ref="AU45:BJ45"/>
    <mergeCell ref="AU56:BJ56"/>
    <mergeCell ref="CQ50:CR50"/>
    <mergeCell ref="AU57:BJ57"/>
    <mergeCell ref="BK56:BZ56"/>
    <mergeCell ref="BK57:BZ57"/>
    <mergeCell ref="CA57:CP57"/>
    <mergeCell ref="CQ57:CR57"/>
    <mergeCell ref="AU50:BJ50"/>
    <mergeCell ref="AU52:BJ52"/>
    <mergeCell ref="CA51:CP51"/>
    <mergeCell ref="AU51:BJ51"/>
    <mergeCell ref="B57:AB57"/>
    <mergeCell ref="AL55:AT55"/>
    <mergeCell ref="BK53:BZ53"/>
    <mergeCell ref="B54:AB54"/>
    <mergeCell ref="B53:AB53"/>
    <mergeCell ref="AC50:AH53"/>
    <mergeCell ref="BK50:BZ50"/>
    <mergeCell ref="AU53:BJ53"/>
    <mergeCell ref="AU54:BJ54"/>
    <mergeCell ref="CS57:DH57"/>
    <mergeCell ref="DI55:DX55"/>
    <mergeCell ref="CS53:DH53"/>
    <mergeCell ref="CQ53:CR53"/>
    <mergeCell ref="DI56:DX56"/>
    <mergeCell ref="CS51:DH51"/>
    <mergeCell ref="CQ52:CR52"/>
    <mergeCell ref="CS52:DH52"/>
    <mergeCell ref="DI51:DX51"/>
    <mergeCell ref="CA52:CP52"/>
    <mergeCell ref="CA53:CP53"/>
    <mergeCell ref="DY50:EN50"/>
    <mergeCell ref="DI52:DX52"/>
    <mergeCell ref="CQ51:CR51"/>
    <mergeCell ref="DI50:DX50"/>
    <mergeCell ref="CS50:DH50"/>
    <mergeCell ref="DI53:DX53"/>
    <mergeCell ref="DY53:EN53"/>
    <mergeCell ref="DY55:EN55"/>
    <mergeCell ref="DI57:DX57"/>
    <mergeCell ref="DY52:EN52"/>
    <mergeCell ref="DY56:EN56"/>
    <mergeCell ref="BK54:BZ54"/>
    <mergeCell ref="CA54:CP54"/>
    <mergeCell ref="CQ54:CR54"/>
    <mergeCell ref="CS54:DH54"/>
    <mergeCell ref="DI54:DX54"/>
    <mergeCell ref="BK52:BZ52"/>
    <mergeCell ref="CA56:CP56"/>
    <mergeCell ref="CQ56:CR56"/>
    <mergeCell ref="CA55:CP55"/>
    <mergeCell ref="CQ55:CR55"/>
    <mergeCell ref="CS55:DH55"/>
    <mergeCell ref="CS56:DH56"/>
    <mergeCell ref="DY51:EN51"/>
    <mergeCell ref="B55:AB55"/>
    <mergeCell ref="AU55:BJ55"/>
    <mergeCell ref="BK55:BZ55"/>
    <mergeCell ref="AL51:AT51"/>
    <mergeCell ref="B51:AB51"/>
    <mergeCell ref="BK51:BZ51"/>
    <mergeCell ref="AC54:AH57"/>
    <mergeCell ref="DY54:EN54"/>
    <mergeCell ref="DY57:EN57"/>
    <mergeCell ref="DI32:DX32"/>
    <mergeCell ref="CS38:DH38"/>
    <mergeCell ref="CA50:CP50"/>
    <mergeCell ref="CA45:CP45"/>
    <mergeCell ref="CQ45:CR45"/>
    <mergeCell ref="CQ32:CR32"/>
    <mergeCell ref="CQ46:CR46"/>
    <mergeCell ref="CA44:CP44"/>
    <mergeCell ref="CS44:DH44"/>
    <mergeCell ref="CA43:CP43"/>
    <mergeCell ref="CS46:DH46"/>
    <mergeCell ref="DY30:EK30"/>
    <mergeCell ref="AU28:BJ28"/>
    <mergeCell ref="AU29:BJ29"/>
    <mergeCell ref="A1:EN1"/>
    <mergeCell ref="DY23:EN23"/>
    <mergeCell ref="BK24:BZ24"/>
    <mergeCell ref="DI36:DX36"/>
    <mergeCell ref="CS35:DH35"/>
    <mergeCell ref="DI33:DX33"/>
    <mergeCell ref="CQ33:CR33"/>
    <mergeCell ref="CS31:DH31"/>
    <mergeCell ref="A34:AB34"/>
    <mergeCell ref="BK34:BZ34"/>
    <mergeCell ref="DY33:EK33"/>
    <mergeCell ref="DY46:EN46"/>
    <mergeCell ref="B46:AB46"/>
    <mergeCell ref="AU46:BJ46"/>
    <mergeCell ref="BK46:BZ46"/>
    <mergeCell ref="CA46:CP46"/>
    <mergeCell ref="CQ34:CR34"/>
    <mergeCell ref="DI42:DU42"/>
    <mergeCell ref="CS33:DH33"/>
    <mergeCell ref="DY32:EK32"/>
    <mergeCell ref="DY31:EK31"/>
    <mergeCell ref="B52:AB52"/>
    <mergeCell ref="DI34:DX34"/>
    <mergeCell ref="DY34:EK34"/>
    <mergeCell ref="BK33:BZ33"/>
    <mergeCell ref="CA33:CP3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61"/>
  <sheetViews>
    <sheetView view="pageBreakPreview" zoomScale="115" zoomScaleSheetLayoutView="115" zoomScalePageLayoutView="0" workbookViewId="0" topLeftCell="A43">
      <selection activeCell="A1" sqref="A1:EN58"/>
    </sheetView>
  </sheetViews>
  <sheetFormatPr defaultColWidth="0.875" defaultRowHeight="12.75"/>
  <cols>
    <col min="1" max="33" width="0.875" style="1" customWidth="1"/>
    <col min="34" max="34" width="1.75390625" style="1" customWidth="1"/>
    <col min="35" max="37" width="0.875" style="1" hidden="1" customWidth="1"/>
    <col min="38" max="39" width="5.375" style="31" customWidth="1"/>
    <col min="40" max="40" width="0.12890625" style="1" hidden="1" customWidth="1"/>
    <col min="41" max="41" width="0.2421875" style="1" hidden="1" customWidth="1"/>
    <col min="42" max="46" width="0.875" style="1" hidden="1" customWidth="1"/>
    <col min="47" max="56" width="0.875" style="1" customWidth="1"/>
    <col min="57" max="57" width="4.125" style="1" customWidth="1"/>
    <col min="58" max="59" width="0.875" style="1" hidden="1" customWidth="1"/>
    <col min="60" max="60" width="0.2421875" style="1" hidden="1" customWidth="1"/>
    <col min="61" max="62" width="0.875" style="1" hidden="1" customWidth="1"/>
    <col min="63" max="75" width="0.875" style="1" customWidth="1"/>
    <col min="76" max="76" width="0.6171875" style="1" customWidth="1"/>
    <col min="77" max="78" width="0.875" style="1" hidden="1" customWidth="1"/>
    <col min="79" max="94" width="0.875" style="1" customWidth="1"/>
    <col min="95" max="96" width="0.875" style="1" hidden="1" customWidth="1"/>
    <col min="97" max="110" width="0.875" style="1" customWidth="1"/>
    <col min="111" max="112" width="0.875" style="1" hidden="1" customWidth="1"/>
    <col min="113" max="123" width="0.875" style="1" customWidth="1"/>
    <col min="124" max="124" width="2.25390625" style="1" customWidth="1"/>
    <col min="125" max="128" width="0.875" style="1" hidden="1" customWidth="1"/>
    <col min="129" max="140" width="0.875" style="1" customWidth="1"/>
    <col min="141" max="141" width="0.74609375" style="1" customWidth="1"/>
    <col min="142" max="143" width="0.875" style="1" hidden="1" customWidth="1"/>
    <col min="144" max="144" width="0.12890625" style="1" customWidth="1"/>
    <col min="145" max="16384" width="0.875" style="1" customWidth="1"/>
  </cols>
  <sheetData>
    <row r="1" spans="1:144" ht="15" customHeight="1">
      <c r="A1" s="210" t="s">
        <v>572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</row>
    <row r="2" spans="1:14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  <c r="AM2" s="33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235" t="s">
        <v>26</v>
      </c>
      <c r="BF2" s="235"/>
      <c r="BG2" s="235"/>
      <c r="BH2" s="235"/>
      <c r="BI2" s="235"/>
      <c r="BJ2" s="235"/>
      <c r="BK2" s="143"/>
      <c r="BL2" s="143"/>
      <c r="BM2" s="143"/>
      <c r="BN2" s="143"/>
      <c r="BO2" s="157" t="s">
        <v>2</v>
      </c>
      <c r="BP2" s="157"/>
      <c r="BQ2" s="157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58">
        <v>20</v>
      </c>
      <c r="CK2" s="158"/>
      <c r="CL2" s="158"/>
      <c r="CM2" s="158"/>
      <c r="CN2" s="153" t="s">
        <v>104</v>
      </c>
      <c r="CO2" s="153"/>
      <c r="CP2" s="153"/>
      <c r="CQ2" s="153"/>
      <c r="CR2" s="150" t="s">
        <v>3</v>
      </c>
      <c r="CS2" s="150"/>
      <c r="CT2" s="150"/>
      <c r="CU2" s="150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</row>
    <row r="3" spans="1:14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  <c r="AM3" s="35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</row>
    <row r="4" spans="1:144" s="30" customFormat="1" ht="15" customHeight="1">
      <c r="A4" s="216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 t="s">
        <v>28</v>
      </c>
      <c r="AD4" s="216"/>
      <c r="AE4" s="216"/>
      <c r="AF4" s="216"/>
      <c r="AG4" s="216"/>
      <c r="AH4" s="216"/>
      <c r="AI4" s="216"/>
      <c r="AJ4" s="216"/>
      <c r="AK4" s="216"/>
      <c r="AL4" s="216" t="s">
        <v>125</v>
      </c>
      <c r="AM4" s="216"/>
      <c r="AN4" s="216"/>
      <c r="AO4" s="216"/>
      <c r="AP4" s="216"/>
      <c r="AQ4" s="216"/>
      <c r="AR4" s="216"/>
      <c r="AS4" s="216"/>
      <c r="AT4" s="216"/>
      <c r="AU4" s="216" t="s">
        <v>30</v>
      </c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</row>
    <row r="5" spans="1:144" s="30" customFormat="1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 t="s">
        <v>218</v>
      </c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 t="s">
        <v>6</v>
      </c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</row>
    <row r="6" spans="1:144" s="30" customFormat="1" ht="67.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 t="s">
        <v>185</v>
      </c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 t="s">
        <v>35</v>
      </c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 t="s">
        <v>31</v>
      </c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 t="s">
        <v>32</v>
      </c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</row>
    <row r="7" spans="1:144" s="30" customFormat="1" ht="42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 t="s">
        <v>29</v>
      </c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 t="s">
        <v>33</v>
      </c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</row>
    <row r="8" spans="1:144" s="22" customFormat="1" ht="13.5">
      <c r="A8" s="217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 t="s">
        <v>37</v>
      </c>
      <c r="AD8" s="217"/>
      <c r="AE8" s="217"/>
      <c r="AF8" s="217"/>
      <c r="AG8" s="217"/>
      <c r="AH8" s="217"/>
      <c r="AI8" s="217"/>
      <c r="AJ8" s="217"/>
      <c r="AK8" s="217"/>
      <c r="AL8" s="217" t="s">
        <v>38</v>
      </c>
      <c r="AM8" s="217"/>
      <c r="AN8" s="217"/>
      <c r="AO8" s="217"/>
      <c r="AP8" s="217"/>
      <c r="AQ8" s="217"/>
      <c r="AR8" s="217"/>
      <c r="AS8" s="217"/>
      <c r="AT8" s="217"/>
      <c r="AU8" s="217">
        <v>4</v>
      </c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>
        <v>5</v>
      </c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>
        <v>6</v>
      </c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>
        <v>7</v>
      </c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>
        <v>8</v>
      </c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>
        <v>9</v>
      </c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</row>
    <row r="9" spans="1:144" s="24" customFormat="1" ht="30" customHeight="1">
      <c r="A9" s="100"/>
      <c r="B9" s="238" t="s">
        <v>36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9" t="s">
        <v>39</v>
      </c>
      <c r="AD9" s="239"/>
      <c r="AE9" s="239"/>
      <c r="AF9" s="239"/>
      <c r="AG9" s="239"/>
      <c r="AH9" s="239"/>
      <c r="AI9" s="239"/>
      <c r="AJ9" s="239"/>
      <c r="AK9" s="239"/>
      <c r="AL9" s="239" t="s">
        <v>15</v>
      </c>
      <c r="AM9" s="239"/>
      <c r="AN9" s="239"/>
      <c r="AO9" s="239"/>
      <c r="AP9" s="239"/>
      <c r="AQ9" s="239"/>
      <c r="AR9" s="239"/>
      <c r="AS9" s="239"/>
      <c r="AT9" s="239"/>
      <c r="AU9" s="211">
        <f>BK9+CA9+CS9+DI9+DY9</f>
        <v>631003030</v>
      </c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>
        <v>441000870</v>
      </c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>
        <v>2160</v>
      </c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>
        <f>CS13</f>
        <v>0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>
        <v>190000000</v>
      </c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>
        <f>DY12+DY14+DY11</f>
        <v>0</v>
      </c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</row>
    <row r="10" spans="1:144" s="24" customFormat="1" ht="15" customHeight="1">
      <c r="A10" s="100"/>
      <c r="B10" s="237" t="s">
        <v>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 t="s">
        <v>15</v>
      </c>
      <c r="AM10" s="217"/>
      <c r="AN10" s="217"/>
      <c r="AO10" s="217"/>
      <c r="AP10" s="217"/>
      <c r="AQ10" s="217"/>
      <c r="AR10" s="217"/>
      <c r="AS10" s="217"/>
      <c r="AT10" s="217"/>
      <c r="AU10" s="236" t="s">
        <v>15</v>
      </c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 t="s">
        <v>15</v>
      </c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 t="s">
        <v>15</v>
      </c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 t="s">
        <v>15</v>
      </c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 t="s">
        <v>15</v>
      </c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 t="s">
        <v>15</v>
      </c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</row>
    <row r="11" spans="1:144" s="24" customFormat="1" ht="30" customHeight="1">
      <c r="A11" s="114"/>
      <c r="B11" s="206" t="s">
        <v>106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13">
        <v>110</v>
      </c>
      <c r="AD11" s="213"/>
      <c r="AE11" s="213"/>
      <c r="AF11" s="213"/>
      <c r="AG11" s="213"/>
      <c r="AH11" s="213"/>
      <c r="AI11" s="213"/>
      <c r="AJ11" s="213"/>
      <c r="AK11" s="213"/>
      <c r="AL11" s="213">
        <v>120</v>
      </c>
      <c r="AM11" s="213"/>
      <c r="AN11" s="213"/>
      <c r="AO11" s="213"/>
      <c r="AP11" s="213"/>
      <c r="AQ11" s="213"/>
      <c r="AR11" s="213"/>
      <c r="AS11" s="213"/>
      <c r="AT11" s="213"/>
      <c r="AU11" s="211">
        <f>DI11+DY11</f>
        <v>0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05" t="s">
        <v>15</v>
      </c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 t="s">
        <v>15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 t="s">
        <v>15</v>
      </c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>
        <v>0</v>
      </c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>
        <v>0</v>
      </c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</row>
    <row r="12" spans="1:144" s="24" customFormat="1" ht="30" customHeight="1">
      <c r="A12" s="114"/>
      <c r="B12" s="206" t="s">
        <v>41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13" t="s">
        <v>42</v>
      </c>
      <c r="AD12" s="213"/>
      <c r="AE12" s="213"/>
      <c r="AF12" s="213"/>
      <c r="AG12" s="213"/>
      <c r="AH12" s="213"/>
      <c r="AI12" s="213"/>
      <c r="AJ12" s="213"/>
      <c r="AK12" s="213"/>
      <c r="AL12" s="213">
        <v>130</v>
      </c>
      <c r="AM12" s="213"/>
      <c r="AN12" s="213"/>
      <c r="AO12" s="213"/>
      <c r="AP12" s="213"/>
      <c r="AQ12" s="213"/>
      <c r="AR12" s="213"/>
      <c r="AS12" s="213"/>
      <c r="AT12" s="213"/>
      <c r="AU12" s="211">
        <f>BK12+DI12+DY12</f>
        <v>631000870</v>
      </c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05">
        <v>441000870</v>
      </c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 t="s">
        <v>15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 t="s">
        <v>15</v>
      </c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>
        <v>190000000</v>
      </c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>
        <v>0</v>
      </c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</row>
    <row r="13" spans="1:144" s="24" customFormat="1" ht="28.5" customHeight="1">
      <c r="A13" s="114"/>
      <c r="B13" s="206" t="s">
        <v>44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13" t="s">
        <v>43</v>
      </c>
      <c r="AD13" s="213"/>
      <c r="AE13" s="213"/>
      <c r="AF13" s="213"/>
      <c r="AG13" s="213"/>
      <c r="AH13" s="213"/>
      <c r="AI13" s="213"/>
      <c r="AJ13" s="213"/>
      <c r="AK13" s="213"/>
      <c r="AL13" s="213">
        <v>180</v>
      </c>
      <c r="AM13" s="213"/>
      <c r="AN13" s="213"/>
      <c r="AO13" s="213"/>
      <c r="AP13" s="213"/>
      <c r="AQ13" s="213"/>
      <c r="AR13" s="213"/>
      <c r="AS13" s="213"/>
      <c r="AT13" s="213"/>
      <c r="AU13" s="205">
        <f>CA13+CS13</f>
        <v>0</v>
      </c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 t="s">
        <v>15</v>
      </c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>
        <v>0</v>
      </c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 t="s">
        <v>15</v>
      </c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 t="s">
        <v>15</v>
      </c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</row>
    <row r="14" spans="1:144" s="24" customFormat="1" ht="15" customHeight="1">
      <c r="A14" s="114"/>
      <c r="B14" s="206" t="s">
        <v>45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13" t="s">
        <v>46</v>
      </c>
      <c r="AD14" s="213"/>
      <c r="AE14" s="213"/>
      <c r="AF14" s="213"/>
      <c r="AG14" s="213"/>
      <c r="AH14" s="213"/>
      <c r="AI14" s="213"/>
      <c r="AJ14" s="213"/>
      <c r="AK14" s="213"/>
      <c r="AL14" s="213">
        <v>180</v>
      </c>
      <c r="AM14" s="213"/>
      <c r="AN14" s="213"/>
      <c r="AO14" s="213"/>
      <c r="AP14" s="213"/>
      <c r="AQ14" s="213"/>
      <c r="AR14" s="213"/>
      <c r="AS14" s="213"/>
      <c r="AT14" s="213"/>
      <c r="AU14" s="205">
        <f>DI14+DY14</f>
        <v>0</v>
      </c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 t="s">
        <v>15</v>
      </c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 t="s">
        <v>15</v>
      </c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 t="s">
        <v>15</v>
      </c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</row>
    <row r="15" spans="1:144" s="24" customFormat="1" ht="15" customHeight="1">
      <c r="A15" s="1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</row>
    <row r="16" spans="1:144" s="24" customFormat="1" ht="30" customHeight="1">
      <c r="A16" s="114"/>
      <c r="B16" s="214" t="s">
        <v>48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8" t="s">
        <v>47</v>
      </c>
      <c r="AD16" s="218"/>
      <c r="AE16" s="218"/>
      <c r="AF16" s="218"/>
      <c r="AG16" s="218"/>
      <c r="AH16" s="218"/>
      <c r="AI16" s="218"/>
      <c r="AJ16" s="218"/>
      <c r="AK16" s="218"/>
      <c r="AL16" s="218" t="s">
        <v>15</v>
      </c>
      <c r="AM16" s="218"/>
      <c r="AN16" s="218"/>
      <c r="AO16" s="218"/>
      <c r="AP16" s="218"/>
      <c r="AQ16" s="218"/>
      <c r="AR16" s="218"/>
      <c r="AS16" s="218"/>
      <c r="AT16" s="218"/>
      <c r="AU16" s="204">
        <f>BK16+CA16+CS16+DI16+DY16</f>
        <v>661917173.32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>
        <f>BK17+BK22+BK25+BK35+BK36+BK37</f>
        <v>444757173.32</v>
      </c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>
        <f>CA17+CA22+CA25+CA35+CA36+CA37</f>
        <v>2160000</v>
      </c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>
        <f>CS17+CS22+CS25+CS35+CS36+CS37</f>
        <v>0</v>
      </c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>
        <f>DI17+DI22+DI25+DI35+DI36+DI37</f>
        <v>215000000</v>
      </c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>
        <f>DY17+DY22+DY25+DY35+DY36+DY37</f>
        <v>0</v>
      </c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</row>
    <row r="17" spans="1:144" s="24" customFormat="1" ht="30" customHeight="1">
      <c r="A17" s="114"/>
      <c r="B17" s="214" t="s">
        <v>50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3" t="s">
        <v>49</v>
      </c>
      <c r="AD17" s="213"/>
      <c r="AE17" s="213"/>
      <c r="AF17" s="213"/>
      <c r="AG17" s="213"/>
      <c r="AH17" s="213"/>
      <c r="AI17" s="213"/>
      <c r="AJ17" s="213"/>
      <c r="AK17" s="213"/>
      <c r="AL17" s="218" t="s">
        <v>40</v>
      </c>
      <c r="AM17" s="218"/>
      <c r="AN17" s="218"/>
      <c r="AO17" s="218"/>
      <c r="AP17" s="218"/>
      <c r="AQ17" s="218"/>
      <c r="AR17" s="218"/>
      <c r="AS17" s="218"/>
      <c r="AT17" s="218"/>
      <c r="AU17" s="204">
        <f>BK17+CA17+CS17+DI17+DY17</f>
        <v>531712000</v>
      </c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>
        <f>SUM(BK19:BZ21)</f>
        <v>354142000</v>
      </c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>
        <f>SUM(CA19:CP21)</f>
        <v>0</v>
      </c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>
        <f>SUM(CS19:DH21)</f>
        <v>0</v>
      </c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>
        <f>SUM(DI19:DX21)</f>
        <v>177570000</v>
      </c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>
        <f>SUM(DY19:EN21)</f>
        <v>0</v>
      </c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</row>
    <row r="18" spans="1:144" s="24" customFormat="1" ht="13.5">
      <c r="A18" s="114"/>
      <c r="B18" s="206" t="s">
        <v>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 t="s">
        <v>15</v>
      </c>
      <c r="AM18" s="213"/>
      <c r="AN18" s="213"/>
      <c r="AO18" s="213"/>
      <c r="AP18" s="213"/>
      <c r="AQ18" s="213"/>
      <c r="AR18" s="213"/>
      <c r="AS18" s="213"/>
      <c r="AT18" s="213"/>
      <c r="AU18" s="212" t="s">
        <v>15</v>
      </c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05" t="s">
        <v>15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12" t="s">
        <v>15</v>
      </c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05" t="s">
        <v>15</v>
      </c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 t="s">
        <v>15</v>
      </c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 t="s">
        <v>15</v>
      </c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</row>
    <row r="19" spans="1:144" s="24" customFormat="1" ht="13.5">
      <c r="A19" s="114"/>
      <c r="B19" s="206" t="s">
        <v>51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13"/>
      <c r="AD19" s="213"/>
      <c r="AE19" s="213"/>
      <c r="AF19" s="213"/>
      <c r="AG19" s="213"/>
      <c r="AH19" s="213"/>
      <c r="AI19" s="213"/>
      <c r="AJ19" s="213"/>
      <c r="AK19" s="213"/>
      <c r="AL19" s="115" t="s">
        <v>53</v>
      </c>
      <c r="AM19" s="115" t="s">
        <v>57</v>
      </c>
      <c r="AN19" s="116"/>
      <c r="AO19" s="116"/>
      <c r="AP19" s="116"/>
      <c r="AQ19" s="116"/>
      <c r="AR19" s="116"/>
      <c r="AS19" s="116"/>
      <c r="AT19" s="116"/>
      <c r="AU19" s="204">
        <f aca="true" t="shared" si="0" ref="AU19:AU25">BK19+CA19+CS19+DI19+DY19</f>
        <v>406000000</v>
      </c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5">
        <v>271000000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4"/>
      <c r="CR19" s="204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>
        <v>135000000</v>
      </c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</row>
    <row r="20" spans="1:144" s="24" customFormat="1" ht="27" customHeight="1">
      <c r="A20" s="114"/>
      <c r="B20" s="206" t="s">
        <v>52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13"/>
      <c r="AD20" s="213"/>
      <c r="AE20" s="213"/>
      <c r="AF20" s="213"/>
      <c r="AG20" s="213"/>
      <c r="AH20" s="213"/>
      <c r="AI20" s="213"/>
      <c r="AJ20" s="213"/>
      <c r="AK20" s="213"/>
      <c r="AL20" s="115" t="s">
        <v>54</v>
      </c>
      <c r="AM20" s="115" t="s">
        <v>108</v>
      </c>
      <c r="AN20" s="116"/>
      <c r="AO20" s="116"/>
      <c r="AP20" s="116"/>
      <c r="AQ20" s="116"/>
      <c r="AR20" s="116"/>
      <c r="AS20" s="116"/>
      <c r="AT20" s="116"/>
      <c r="AU20" s="204">
        <f t="shared" si="0"/>
        <v>122612000</v>
      </c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>
        <v>81842000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4"/>
      <c r="CR20" s="204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>
        <v>40770000</v>
      </c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</row>
    <row r="21" spans="1:144" s="24" customFormat="1" ht="44.25" customHeight="1">
      <c r="A21" s="114"/>
      <c r="B21" s="206" t="s">
        <v>56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13"/>
      <c r="AD21" s="213"/>
      <c r="AE21" s="213"/>
      <c r="AF21" s="213"/>
      <c r="AG21" s="213"/>
      <c r="AH21" s="213"/>
      <c r="AI21" s="213"/>
      <c r="AJ21" s="213"/>
      <c r="AK21" s="213"/>
      <c r="AL21" s="115" t="s">
        <v>55</v>
      </c>
      <c r="AM21" s="115" t="s">
        <v>109</v>
      </c>
      <c r="AN21" s="116"/>
      <c r="AO21" s="116"/>
      <c r="AP21" s="116"/>
      <c r="AQ21" s="116"/>
      <c r="AR21" s="116"/>
      <c r="AS21" s="116"/>
      <c r="AT21" s="116"/>
      <c r="AU21" s="204">
        <f t="shared" si="0"/>
        <v>3100000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5">
        <v>1300000</v>
      </c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4"/>
      <c r="CR21" s="204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>
        <v>1800000</v>
      </c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</row>
    <row r="22" spans="1:144" s="24" customFormat="1" ht="44.25" customHeight="1">
      <c r="A22" s="114"/>
      <c r="B22" s="214" t="s">
        <v>217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3">
        <v>220</v>
      </c>
      <c r="AD22" s="213"/>
      <c r="AE22" s="213"/>
      <c r="AF22" s="213"/>
      <c r="AG22" s="213"/>
      <c r="AH22" s="213"/>
      <c r="AI22" s="117"/>
      <c r="AJ22" s="117"/>
      <c r="AK22" s="117"/>
      <c r="AL22" s="219" t="s">
        <v>581</v>
      </c>
      <c r="AM22" s="219"/>
      <c r="AN22" s="116"/>
      <c r="AO22" s="116"/>
      <c r="AP22" s="116"/>
      <c r="AQ22" s="116"/>
      <c r="AR22" s="116"/>
      <c r="AS22" s="116"/>
      <c r="AT22" s="116"/>
      <c r="AU22" s="204">
        <f t="shared" si="0"/>
        <v>0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118"/>
      <c r="BG22" s="118"/>
      <c r="BH22" s="118"/>
      <c r="BI22" s="118"/>
      <c r="BJ22" s="118"/>
      <c r="BK22" s="211">
        <f>BK24</f>
        <v>0</v>
      </c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>
        <f>CA24</f>
        <v>0</v>
      </c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118"/>
      <c r="CR22" s="118"/>
      <c r="CS22" s="211">
        <f>CS24</f>
        <v>0</v>
      </c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>
        <f>DI24</f>
        <v>0</v>
      </c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>
        <f>DY24</f>
        <v>0</v>
      </c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</row>
    <row r="23" spans="1:144" s="24" customFormat="1" ht="13.5">
      <c r="A23" s="114"/>
      <c r="B23" s="206" t="s">
        <v>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13"/>
      <c r="AD23" s="213"/>
      <c r="AE23" s="213"/>
      <c r="AF23" s="213"/>
      <c r="AG23" s="213"/>
      <c r="AH23" s="213"/>
      <c r="AI23" s="117"/>
      <c r="AJ23" s="117"/>
      <c r="AK23" s="117"/>
      <c r="AL23" s="213" t="s">
        <v>15</v>
      </c>
      <c r="AM23" s="213"/>
      <c r="AN23" s="213"/>
      <c r="AO23" s="213"/>
      <c r="AP23" s="213"/>
      <c r="AQ23" s="213"/>
      <c r="AR23" s="213"/>
      <c r="AS23" s="213"/>
      <c r="AT23" s="213"/>
      <c r="AU23" s="212" t="s">
        <v>15</v>
      </c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05" t="s">
        <v>15</v>
      </c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12" t="s">
        <v>15</v>
      </c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05" t="s">
        <v>15</v>
      </c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 t="s">
        <v>15</v>
      </c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 t="s">
        <v>15</v>
      </c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</row>
    <row r="24" spans="1:144" s="24" customFormat="1" ht="44.25" customHeight="1">
      <c r="A24" s="1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3"/>
      <c r="AD24" s="213"/>
      <c r="AE24" s="213"/>
      <c r="AF24" s="213"/>
      <c r="AG24" s="213"/>
      <c r="AH24" s="213"/>
      <c r="AI24" s="117"/>
      <c r="AJ24" s="117"/>
      <c r="AK24" s="117"/>
      <c r="AL24" s="115"/>
      <c r="AM24" s="115"/>
      <c r="AN24" s="116"/>
      <c r="AO24" s="116"/>
      <c r="AP24" s="116"/>
      <c r="AQ24" s="116"/>
      <c r="AR24" s="116"/>
      <c r="AS24" s="116"/>
      <c r="AT24" s="116"/>
      <c r="AU24" s="204">
        <f t="shared" si="0"/>
        <v>0</v>
      </c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118"/>
      <c r="BG24" s="118"/>
      <c r="BH24" s="118"/>
      <c r="BI24" s="118"/>
      <c r="BJ24" s="118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118"/>
      <c r="CR24" s="118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</row>
    <row r="25" spans="1:144" s="24" customFormat="1" ht="30" customHeight="1">
      <c r="A25" s="114"/>
      <c r="B25" s="232" t="s">
        <v>58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4"/>
      <c r="AC25" s="223" t="s">
        <v>63</v>
      </c>
      <c r="AD25" s="224"/>
      <c r="AE25" s="224"/>
      <c r="AF25" s="224"/>
      <c r="AG25" s="224"/>
      <c r="AH25" s="224"/>
      <c r="AI25" s="224"/>
      <c r="AJ25" s="224"/>
      <c r="AK25" s="225"/>
      <c r="AL25" s="218" t="s">
        <v>59</v>
      </c>
      <c r="AM25" s="218"/>
      <c r="AN25" s="218"/>
      <c r="AO25" s="218"/>
      <c r="AP25" s="218"/>
      <c r="AQ25" s="218"/>
      <c r="AR25" s="218"/>
      <c r="AS25" s="218"/>
      <c r="AT25" s="218"/>
      <c r="AU25" s="204">
        <f t="shared" si="0"/>
        <v>8610000</v>
      </c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11">
        <f>SUM(BK27:BZ34)</f>
        <v>6980000</v>
      </c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>
        <f>SUM(CA27:CP29)</f>
        <v>0</v>
      </c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04"/>
      <c r="CR25" s="204"/>
      <c r="CS25" s="211">
        <f>SUM(CS27:DH29)</f>
        <v>0</v>
      </c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>
        <f>SUM(DI27:DX34)</f>
        <v>1630000</v>
      </c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>
        <f>SUM(DY27:EN29)</f>
        <v>0</v>
      </c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</row>
    <row r="26" spans="1:144" s="24" customFormat="1" ht="15" customHeight="1">
      <c r="A26" s="114"/>
      <c r="B26" s="220" t="s">
        <v>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6"/>
      <c r="AD26" s="227"/>
      <c r="AE26" s="227"/>
      <c r="AF26" s="227"/>
      <c r="AG26" s="227"/>
      <c r="AH26" s="227"/>
      <c r="AI26" s="227"/>
      <c r="AJ26" s="227"/>
      <c r="AK26" s="228"/>
      <c r="AL26" s="213" t="s">
        <v>15</v>
      </c>
      <c r="AM26" s="213"/>
      <c r="AN26" s="213"/>
      <c r="AO26" s="213"/>
      <c r="AP26" s="213"/>
      <c r="AQ26" s="213"/>
      <c r="AR26" s="213"/>
      <c r="AS26" s="213"/>
      <c r="AT26" s="213"/>
      <c r="AU26" s="212" t="s">
        <v>15</v>
      </c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05" t="s">
        <v>15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12" t="s">
        <v>15</v>
      </c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05" t="s">
        <v>15</v>
      </c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 t="s">
        <v>15</v>
      </c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 t="s">
        <v>15</v>
      </c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</row>
    <row r="27" spans="1:144" s="24" customFormat="1" ht="32.25" customHeight="1">
      <c r="A27" s="114"/>
      <c r="B27" s="220" t="s">
        <v>60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2"/>
      <c r="AC27" s="226"/>
      <c r="AD27" s="227"/>
      <c r="AE27" s="227"/>
      <c r="AF27" s="227"/>
      <c r="AG27" s="227"/>
      <c r="AH27" s="227"/>
      <c r="AI27" s="227"/>
      <c r="AJ27" s="227"/>
      <c r="AK27" s="228"/>
      <c r="AL27" s="115" t="s">
        <v>110</v>
      </c>
      <c r="AM27" s="115" t="s">
        <v>124</v>
      </c>
      <c r="AN27" s="116"/>
      <c r="AO27" s="116"/>
      <c r="AP27" s="116"/>
      <c r="AQ27" s="116"/>
      <c r="AR27" s="116"/>
      <c r="AS27" s="116"/>
      <c r="AT27" s="116"/>
      <c r="AU27" s="204">
        <f aca="true" t="shared" si="1" ref="AU27:AU37">BK27+CA27+CS27+DI27+DY27</f>
        <v>5550000</v>
      </c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5">
        <v>5500000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4"/>
      <c r="CR27" s="204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>
        <v>50000</v>
      </c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</row>
    <row r="28" spans="1:144" s="24" customFormat="1" ht="27" customHeight="1">
      <c r="A28" s="220" t="s">
        <v>61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  <c r="AC28" s="226"/>
      <c r="AD28" s="227"/>
      <c r="AE28" s="227"/>
      <c r="AF28" s="227"/>
      <c r="AG28" s="227"/>
      <c r="AH28" s="227"/>
      <c r="AI28" s="227"/>
      <c r="AJ28" s="227"/>
      <c r="AK28" s="228"/>
      <c r="AL28" s="115" t="s">
        <v>111</v>
      </c>
      <c r="AM28" s="115" t="s">
        <v>124</v>
      </c>
      <c r="AN28" s="116"/>
      <c r="AO28" s="116"/>
      <c r="AP28" s="116"/>
      <c r="AQ28" s="116"/>
      <c r="AR28" s="116"/>
      <c r="AS28" s="116"/>
      <c r="AT28" s="116"/>
      <c r="AU28" s="204">
        <f t="shared" si="1"/>
        <v>1260000</v>
      </c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5">
        <v>780000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4"/>
      <c r="CR28" s="204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>
        <v>480000</v>
      </c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</row>
    <row r="29" spans="1:144" s="24" customFormat="1" ht="15" customHeight="1">
      <c r="A29" s="220" t="s">
        <v>62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2"/>
      <c r="AC29" s="226"/>
      <c r="AD29" s="227"/>
      <c r="AE29" s="227"/>
      <c r="AF29" s="227"/>
      <c r="AG29" s="227"/>
      <c r="AH29" s="227"/>
      <c r="AI29" s="227"/>
      <c r="AJ29" s="227"/>
      <c r="AK29" s="228"/>
      <c r="AL29" s="115" t="s">
        <v>112</v>
      </c>
      <c r="AM29" s="115" t="s">
        <v>124</v>
      </c>
      <c r="AN29" s="116"/>
      <c r="AO29" s="116"/>
      <c r="AP29" s="116"/>
      <c r="AQ29" s="116"/>
      <c r="AR29" s="116"/>
      <c r="AS29" s="116"/>
      <c r="AT29" s="116"/>
      <c r="AU29" s="204">
        <f t="shared" si="1"/>
        <v>850000</v>
      </c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5">
        <v>200000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4"/>
      <c r="CR29" s="204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>
        <v>650000</v>
      </c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</row>
    <row r="30" spans="1:144" s="24" customFormat="1" ht="15" customHeigh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9"/>
      <c r="AC30" s="226"/>
      <c r="AD30" s="227"/>
      <c r="AE30" s="227"/>
      <c r="AF30" s="227"/>
      <c r="AG30" s="227"/>
      <c r="AH30" s="227"/>
      <c r="AI30" s="227"/>
      <c r="AJ30" s="227"/>
      <c r="AK30" s="228"/>
      <c r="AL30" s="115" t="s">
        <v>309</v>
      </c>
      <c r="AM30" s="115" t="s">
        <v>124</v>
      </c>
      <c r="AN30" s="116"/>
      <c r="AO30" s="116"/>
      <c r="AP30" s="116"/>
      <c r="AQ30" s="116"/>
      <c r="AR30" s="116"/>
      <c r="AS30" s="116"/>
      <c r="AT30" s="116"/>
      <c r="AU30" s="204">
        <f>BK30+CA30+CS30+DI30+DY30</f>
        <v>650000</v>
      </c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5">
        <v>500000</v>
      </c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4"/>
      <c r="CR30" s="204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>
        <v>150000</v>
      </c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119"/>
      <c r="EM30" s="119"/>
      <c r="EN30" s="119"/>
    </row>
    <row r="31" spans="1:144" s="24" customFormat="1" ht="1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9"/>
      <c r="AC31" s="226"/>
      <c r="AD31" s="227"/>
      <c r="AE31" s="227"/>
      <c r="AF31" s="227"/>
      <c r="AG31" s="227"/>
      <c r="AH31" s="227"/>
      <c r="AI31" s="227"/>
      <c r="AJ31" s="227"/>
      <c r="AK31" s="228"/>
      <c r="AL31" s="115" t="s">
        <v>310</v>
      </c>
      <c r="AM31" s="115" t="s">
        <v>124</v>
      </c>
      <c r="AN31" s="116"/>
      <c r="AO31" s="116"/>
      <c r="AP31" s="116"/>
      <c r="AQ31" s="116"/>
      <c r="AR31" s="116"/>
      <c r="AS31" s="116"/>
      <c r="AT31" s="116"/>
      <c r="AU31" s="204">
        <f>BK31+CA31+CS31+DI31+DY31</f>
        <v>100000</v>
      </c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5">
        <v>0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4"/>
      <c r="CR31" s="204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>
        <v>100000</v>
      </c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119"/>
      <c r="EM31" s="119"/>
      <c r="EN31" s="119"/>
    </row>
    <row r="32" spans="1:144" s="24" customFormat="1" ht="1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226"/>
      <c r="AD32" s="227"/>
      <c r="AE32" s="227"/>
      <c r="AF32" s="227"/>
      <c r="AG32" s="227"/>
      <c r="AH32" s="227"/>
      <c r="AI32" s="227"/>
      <c r="AJ32" s="227"/>
      <c r="AK32" s="228"/>
      <c r="AL32" s="115" t="s">
        <v>113</v>
      </c>
      <c r="AM32" s="115" t="s">
        <v>124</v>
      </c>
      <c r="AN32" s="116"/>
      <c r="AO32" s="116"/>
      <c r="AP32" s="116"/>
      <c r="AQ32" s="116"/>
      <c r="AR32" s="116"/>
      <c r="AS32" s="116"/>
      <c r="AT32" s="116"/>
      <c r="AU32" s="204">
        <f>BK32+CA32+CS32+DI32+DY32</f>
        <v>50000</v>
      </c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5">
        <v>0</v>
      </c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4"/>
      <c r="CR32" s="204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>
        <v>50000</v>
      </c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119"/>
      <c r="EM32" s="119"/>
      <c r="EN32" s="119"/>
    </row>
    <row r="33" spans="1:144" s="24" customFormat="1" ht="1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9"/>
      <c r="AC33" s="226"/>
      <c r="AD33" s="227"/>
      <c r="AE33" s="227"/>
      <c r="AF33" s="227"/>
      <c r="AG33" s="227"/>
      <c r="AH33" s="227"/>
      <c r="AI33" s="227"/>
      <c r="AJ33" s="227"/>
      <c r="AK33" s="228"/>
      <c r="AL33" s="115" t="s">
        <v>123</v>
      </c>
      <c r="AM33" s="115" t="s">
        <v>124</v>
      </c>
      <c r="AN33" s="116"/>
      <c r="AO33" s="116"/>
      <c r="AP33" s="116"/>
      <c r="AQ33" s="116"/>
      <c r="AR33" s="116"/>
      <c r="AS33" s="116"/>
      <c r="AT33" s="116"/>
      <c r="AU33" s="204">
        <f>BK33+CA33+CS33+DI33+DY33</f>
        <v>100000</v>
      </c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5">
        <v>0</v>
      </c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4"/>
      <c r="CR33" s="204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>
        <v>100000</v>
      </c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119"/>
      <c r="EM33" s="119"/>
      <c r="EN33" s="119"/>
    </row>
    <row r="34" spans="1:144" s="24" customFormat="1" ht="1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9"/>
      <c r="AC34" s="229"/>
      <c r="AD34" s="230"/>
      <c r="AE34" s="230"/>
      <c r="AF34" s="230"/>
      <c r="AG34" s="230"/>
      <c r="AH34" s="230"/>
      <c r="AI34" s="230"/>
      <c r="AJ34" s="230"/>
      <c r="AK34" s="231"/>
      <c r="AL34" s="115" t="s">
        <v>311</v>
      </c>
      <c r="AM34" s="115" t="s">
        <v>124</v>
      </c>
      <c r="AN34" s="116"/>
      <c r="AO34" s="116"/>
      <c r="AP34" s="116"/>
      <c r="AQ34" s="116"/>
      <c r="AR34" s="116"/>
      <c r="AS34" s="116"/>
      <c r="AT34" s="116"/>
      <c r="AU34" s="204">
        <f>BK34+CA34+CS34+DI34+DY34</f>
        <v>50000</v>
      </c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5">
        <v>0</v>
      </c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4"/>
      <c r="CR34" s="204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>
        <v>50000</v>
      </c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119"/>
      <c r="EM34" s="119"/>
      <c r="EN34" s="119"/>
    </row>
    <row r="35" spans="1:144" s="24" customFormat="1" ht="37.5" customHeight="1">
      <c r="A35" s="114"/>
      <c r="B35" s="214" t="s">
        <v>127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3">
        <v>240</v>
      </c>
      <c r="AD35" s="213"/>
      <c r="AE35" s="213"/>
      <c r="AF35" s="213"/>
      <c r="AG35" s="213"/>
      <c r="AH35" s="213"/>
      <c r="AI35" s="120"/>
      <c r="AJ35" s="120"/>
      <c r="AK35" s="120"/>
      <c r="AL35" s="121"/>
      <c r="AM35" s="121"/>
      <c r="AN35" s="116"/>
      <c r="AO35" s="116"/>
      <c r="AP35" s="116"/>
      <c r="AQ35" s="116"/>
      <c r="AR35" s="116"/>
      <c r="AS35" s="116"/>
      <c r="AT35" s="116"/>
      <c r="AU35" s="204">
        <f t="shared" si="1"/>
        <v>0</v>
      </c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118"/>
      <c r="BG35" s="118"/>
      <c r="BH35" s="118"/>
      <c r="BI35" s="118"/>
      <c r="BJ35" s="118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118"/>
      <c r="CR35" s="118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</row>
    <row r="36" spans="1:144" s="24" customFormat="1" ht="44.25" customHeight="1">
      <c r="A36" s="114"/>
      <c r="B36" s="214" t="s">
        <v>126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3">
        <v>250</v>
      </c>
      <c r="AD36" s="213"/>
      <c r="AE36" s="213"/>
      <c r="AF36" s="213"/>
      <c r="AG36" s="213"/>
      <c r="AH36" s="213"/>
      <c r="AI36" s="120"/>
      <c r="AJ36" s="120"/>
      <c r="AK36" s="120"/>
      <c r="AL36" s="122"/>
      <c r="AM36" s="122"/>
      <c r="AN36" s="116"/>
      <c r="AO36" s="116"/>
      <c r="AP36" s="116"/>
      <c r="AQ36" s="116"/>
      <c r="AR36" s="116"/>
      <c r="AS36" s="116"/>
      <c r="AT36" s="116"/>
      <c r="AU36" s="204">
        <f t="shared" si="1"/>
        <v>0</v>
      </c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118"/>
      <c r="BG36" s="118"/>
      <c r="BH36" s="118"/>
      <c r="BI36" s="118"/>
      <c r="BJ36" s="118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118"/>
      <c r="CR36" s="118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</row>
    <row r="37" spans="1:144" s="5" customFormat="1" ht="24.75" customHeight="1">
      <c r="A37" s="114"/>
      <c r="B37" s="214" t="s">
        <v>65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3" t="s">
        <v>71</v>
      </c>
      <c r="AD37" s="213"/>
      <c r="AE37" s="213"/>
      <c r="AF37" s="213"/>
      <c r="AG37" s="213"/>
      <c r="AH37" s="213"/>
      <c r="AI37" s="213"/>
      <c r="AJ37" s="213"/>
      <c r="AK37" s="213"/>
      <c r="AL37" s="218" t="s">
        <v>64</v>
      </c>
      <c r="AM37" s="218"/>
      <c r="AN37" s="218"/>
      <c r="AO37" s="218"/>
      <c r="AP37" s="218"/>
      <c r="AQ37" s="218"/>
      <c r="AR37" s="218"/>
      <c r="AS37" s="218"/>
      <c r="AT37" s="218"/>
      <c r="AU37" s="204">
        <f t="shared" si="1"/>
        <v>121595173.32</v>
      </c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11">
        <f>SUM(BK39:BZ48)</f>
        <v>83635173.32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>
        <f>SUM(CA39:CP48)</f>
        <v>2160000</v>
      </c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04"/>
      <c r="CR37" s="204"/>
      <c r="CS37" s="211">
        <f>SUM(CS39:DH48)</f>
        <v>0</v>
      </c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>
        <f>SUM(DI39:DX48)</f>
        <v>35800000</v>
      </c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>
        <f>SUM(DY39:EN48)</f>
        <v>0</v>
      </c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</row>
    <row r="38" spans="1:144" s="5" customFormat="1" ht="15">
      <c r="A38" s="114"/>
      <c r="B38" s="206" t="s">
        <v>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 t="s">
        <v>15</v>
      </c>
      <c r="AM38" s="213"/>
      <c r="AN38" s="213"/>
      <c r="AO38" s="213"/>
      <c r="AP38" s="213"/>
      <c r="AQ38" s="213"/>
      <c r="AR38" s="213"/>
      <c r="AS38" s="213"/>
      <c r="AT38" s="213"/>
      <c r="AU38" s="212" t="s">
        <v>15</v>
      </c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05" t="s">
        <v>15</v>
      </c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12" t="s">
        <v>15</v>
      </c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05" t="s">
        <v>15</v>
      </c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 t="s">
        <v>15</v>
      </c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 t="s">
        <v>15</v>
      </c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</row>
    <row r="39" spans="1:144" s="5" customFormat="1" ht="15">
      <c r="A39" s="114"/>
      <c r="B39" s="206" t="s">
        <v>66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13"/>
      <c r="AD39" s="213"/>
      <c r="AE39" s="213"/>
      <c r="AF39" s="213"/>
      <c r="AG39" s="213"/>
      <c r="AH39" s="213"/>
      <c r="AI39" s="213"/>
      <c r="AJ39" s="213"/>
      <c r="AK39" s="213"/>
      <c r="AL39" s="115" t="s">
        <v>187</v>
      </c>
      <c r="AM39" s="115" t="s">
        <v>117</v>
      </c>
      <c r="AN39" s="116"/>
      <c r="AO39" s="116"/>
      <c r="AP39" s="116"/>
      <c r="AQ39" s="116"/>
      <c r="AR39" s="116"/>
      <c r="AS39" s="116"/>
      <c r="AT39" s="116"/>
      <c r="AU39" s="204">
        <f>BK39+CA39+CS39+DI39+DY39</f>
        <v>2900000</v>
      </c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5">
        <v>2100000</v>
      </c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4"/>
      <c r="CR39" s="204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>
        <v>800000</v>
      </c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</row>
    <row r="40" spans="1:144" s="5" customFormat="1" ht="15">
      <c r="A40" s="114"/>
      <c r="B40" s="206" t="s">
        <v>67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13"/>
      <c r="AD40" s="213"/>
      <c r="AE40" s="213"/>
      <c r="AF40" s="213"/>
      <c r="AG40" s="213"/>
      <c r="AH40" s="213"/>
      <c r="AI40" s="213"/>
      <c r="AJ40" s="213"/>
      <c r="AK40" s="213"/>
      <c r="AL40" s="115" t="s">
        <v>113</v>
      </c>
      <c r="AM40" s="115" t="s">
        <v>114</v>
      </c>
      <c r="AN40" s="116"/>
      <c r="AO40" s="116"/>
      <c r="AP40" s="116"/>
      <c r="AQ40" s="116"/>
      <c r="AR40" s="116"/>
      <c r="AS40" s="116"/>
      <c r="AT40" s="116"/>
      <c r="AU40" s="204">
        <f>BK40+CA40+CS40+DI40+DY40</f>
        <v>300000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5">
        <v>100000</v>
      </c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4"/>
      <c r="CR40" s="204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>
        <v>200000</v>
      </c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</row>
    <row r="41" spans="1:144" s="5" customFormat="1" ht="15">
      <c r="A41" s="114"/>
      <c r="B41" s="206" t="s">
        <v>68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13"/>
      <c r="AD41" s="213"/>
      <c r="AE41" s="213"/>
      <c r="AF41" s="213"/>
      <c r="AG41" s="213"/>
      <c r="AH41" s="213"/>
      <c r="AI41" s="213"/>
      <c r="AJ41" s="213"/>
      <c r="AK41" s="213"/>
      <c r="AL41" s="115" t="s">
        <v>113</v>
      </c>
      <c r="AM41" s="115" t="s">
        <v>118</v>
      </c>
      <c r="AN41" s="116"/>
      <c r="AO41" s="116"/>
      <c r="AP41" s="116"/>
      <c r="AQ41" s="116"/>
      <c r="AR41" s="116"/>
      <c r="AS41" s="116"/>
      <c r="AT41" s="116"/>
      <c r="AU41" s="204">
        <f>BK41+CA41+CS41+DI41+DY41</f>
        <v>21927173.32</v>
      </c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5">
        <f>15127172.06+1.26</f>
        <v>15127173.32</v>
      </c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4"/>
      <c r="CR41" s="204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>
        <v>6800000</v>
      </c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</row>
    <row r="42" spans="1:144" s="5" customFormat="1" ht="15">
      <c r="A42" s="114"/>
      <c r="B42" s="206" t="s">
        <v>116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13"/>
      <c r="AD42" s="213"/>
      <c r="AE42" s="213"/>
      <c r="AF42" s="213"/>
      <c r="AG42" s="213"/>
      <c r="AH42" s="213"/>
      <c r="AI42" s="213"/>
      <c r="AJ42" s="213"/>
      <c r="AK42" s="213"/>
      <c r="AL42" s="115" t="s">
        <v>113</v>
      </c>
      <c r="AM42" s="115" t="s">
        <v>119</v>
      </c>
      <c r="AN42" s="116"/>
      <c r="AO42" s="116"/>
      <c r="AP42" s="116"/>
      <c r="AQ42" s="116"/>
      <c r="AR42" s="116"/>
      <c r="AS42" s="116"/>
      <c r="AT42" s="116"/>
      <c r="AU42" s="204">
        <f>BK42+CA42+CS42+DI42+DY42</f>
        <v>1000000</v>
      </c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118"/>
      <c r="BG42" s="118"/>
      <c r="BH42" s="118"/>
      <c r="BI42" s="118"/>
      <c r="BJ42" s="118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119"/>
      <c r="BZ42" s="119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118"/>
      <c r="CR42" s="118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119"/>
      <c r="DH42" s="119"/>
      <c r="DI42" s="205">
        <v>1000000</v>
      </c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119"/>
      <c r="DW42" s="119"/>
      <c r="DX42" s="119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119"/>
      <c r="EM42" s="119"/>
      <c r="EN42" s="119"/>
    </row>
    <row r="43" spans="1:144" s="5" customFormat="1" ht="30" customHeight="1">
      <c r="A43" s="114"/>
      <c r="B43" s="206" t="s">
        <v>69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13"/>
      <c r="AD43" s="213"/>
      <c r="AE43" s="213"/>
      <c r="AF43" s="213"/>
      <c r="AG43" s="213"/>
      <c r="AH43" s="213"/>
      <c r="AI43" s="213"/>
      <c r="AJ43" s="213"/>
      <c r="AK43" s="213"/>
      <c r="AL43" s="115" t="s">
        <v>115</v>
      </c>
      <c r="AM43" s="115" t="s">
        <v>120</v>
      </c>
      <c r="AN43" s="116"/>
      <c r="AO43" s="116"/>
      <c r="AP43" s="116"/>
      <c r="AQ43" s="116"/>
      <c r="AR43" s="116"/>
      <c r="AS43" s="116"/>
      <c r="AT43" s="116"/>
      <c r="AU43" s="204">
        <f aca="true" t="shared" si="2" ref="AU43:AU49">BK43+CA43+CS43+DI43+DY43</f>
        <v>0</v>
      </c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4"/>
      <c r="CR43" s="204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</row>
    <row r="44" spans="1:144" s="5" customFormat="1" ht="30" customHeight="1">
      <c r="A44" s="114"/>
      <c r="B44" s="206" t="s">
        <v>69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13"/>
      <c r="AD44" s="213"/>
      <c r="AE44" s="213"/>
      <c r="AF44" s="213"/>
      <c r="AG44" s="213"/>
      <c r="AH44" s="213"/>
      <c r="AI44" s="213"/>
      <c r="AJ44" s="213"/>
      <c r="AK44" s="213"/>
      <c r="AL44" s="115" t="s">
        <v>113</v>
      </c>
      <c r="AM44" s="115" t="s">
        <v>120</v>
      </c>
      <c r="AN44" s="116"/>
      <c r="AO44" s="116"/>
      <c r="AP44" s="116"/>
      <c r="AQ44" s="116"/>
      <c r="AR44" s="116"/>
      <c r="AS44" s="116"/>
      <c r="AT44" s="116"/>
      <c r="AU44" s="204">
        <f t="shared" si="2"/>
        <v>26700000</v>
      </c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5">
        <v>21390000</v>
      </c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4"/>
      <c r="CR44" s="204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>
        <v>5310000</v>
      </c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</row>
    <row r="45" spans="1:144" s="5" customFormat="1" ht="15" customHeight="1">
      <c r="A45" s="114"/>
      <c r="B45" s="206" t="s">
        <v>70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13"/>
      <c r="AD45" s="213"/>
      <c r="AE45" s="213"/>
      <c r="AF45" s="213"/>
      <c r="AG45" s="213"/>
      <c r="AH45" s="213"/>
      <c r="AI45" s="213"/>
      <c r="AJ45" s="213"/>
      <c r="AK45" s="213"/>
      <c r="AL45" s="115" t="s">
        <v>113</v>
      </c>
      <c r="AM45" s="115" t="s">
        <v>121</v>
      </c>
      <c r="AN45" s="116"/>
      <c r="AO45" s="116"/>
      <c r="AP45" s="116"/>
      <c r="AQ45" s="116"/>
      <c r="AR45" s="116"/>
      <c r="AS45" s="116"/>
      <c r="AT45" s="116"/>
      <c r="AU45" s="204">
        <f t="shared" si="2"/>
        <v>53730000</v>
      </c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5">
        <v>34210000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>
        <v>2160000</v>
      </c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4"/>
      <c r="CR45" s="204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>
        <v>17360000</v>
      </c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</row>
    <row r="46" spans="1:144" s="5" customFormat="1" ht="15" customHeight="1">
      <c r="A46" s="114"/>
      <c r="B46" s="206" t="s">
        <v>308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13"/>
      <c r="AD46" s="213"/>
      <c r="AE46" s="213"/>
      <c r="AF46" s="213"/>
      <c r="AG46" s="213"/>
      <c r="AH46" s="213"/>
      <c r="AI46" s="213"/>
      <c r="AJ46" s="213"/>
      <c r="AK46" s="213"/>
      <c r="AL46" s="115" t="s">
        <v>113</v>
      </c>
      <c r="AM46" s="115" t="s">
        <v>124</v>
      </c>
      <c r="AN46" s="116"/>
      <c r="AO46" s="116"/>
      <c r="AP46" s="116"/>
      <c r="AQ46" s="116"/>
      <c r="AR46" s="116"/>
      <c r="AS46" s="116"/>
      <c r="AT46" s="116"/>
      <c r="AU46" s="204">
        <f t="shared" si="2"/>
        <v>0</v>
      </c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>
        <v>0</v>
      </c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4"/>
      <c r="CR46" s="204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</row>
    <row r="47" spans="1:144" s="5" customFormat="1" ht="25.5" customHeight="1">
      <c r="A47" s="114"/>
      <c r="B47" s="206" t="s">
        <v>72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13"/>
      <c r="AD47" s="213"/>
      <c r="AE47" s="213"/>
      <c r="AF47" s="213"/>
      <c r="AG47" s="213"/>
      <c r="AH47" s="213"/>
      <c r="AI47" s="213"/>
      <c r="AJ47" s="213"/>
      <c r="AK47" s="213"/>
      <c r="AL47" s="115" t="s">
        <v>113</v>
      </c>
      <c r="AM47" s="115" t="s">
        <v>122</v>
      </c>
      <c r="AN47" s="116"/>
      <c r="AO47" s="116"/>
      <c r="AP47" s="116"/>
      <c r="AQ47" s="116"/>
      <c r="AR47" s="116"/>
      <c r="AS47" s="116"/>
      <c r="AT47" s="116"/>
      <c r="AU47" s="204">
        <f t="shared" si="2"/>
        <v>2000000</v>
      </c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5">
        <v>1000000</v>
      </c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04"/>
      <c r="CR47" s="204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>
        <v>1000000</v>
      </c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</row>
    <row r="48" spans="1:144" s="5" customFormat="1" ht="27" customHeight="1">
      <c r="A48" s="114"/>
      <c r="B48" s="206" t="s">
        <v>73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13"/>
      <c r="AD48" s="213"/>
      <c r="AE48" s="213"/>
      <c r="AF48" s="213"/>
      <c r="AG48" s="213"/>
      <c r="AH48" s="213"/>
      <c r="AI48" s="213"/>
      <c r="AJ48" s="213"/>
      <c r="AK48" s="213"/>
      <c r="AL48" s="115" t="s">
        <v>113</v>
      </c>
      <c r="AM48" s="115" t="s">
        <v>123</v>
      </c>
      <c r="AN48" s="116"/>
      <c r="AO48" s="116"/>
      <c r="AP48" s="116"/>
      <c r="AQ48" s="116"/>
      <c r="AR48" s="116"/>
      <c r="AS48" s="116"/>
      <c r="AT48" s="116"/>
      <c r="AU48" s="204">
        <f t="shared" si="2"/>
        <v>13038000</v>
      </c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5">
        <v>9708000</v>
      </c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04"/>
      <c r="CR48" s="204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>
        <v>3330000</v>
      </c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</row>
    <row r="49" spans="1:144" s="5" customFormat="1" ht="27" customHeight="1">
      <c r="A49" s="114"/>
      <c r="B49" s="206" t="s">
        <v>210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13">
        <v>300</v>
      </c>
      <c r="AD49" s="213"/>
      <c r="AE49" s="213"/>
      <c r="AF49" s="213"/>
      <c r="AG49" s="213"/>
      <c r="AH49" s="213"/>
      <c r="AI49" s="117"/>
      <c r="AJ49" s="117"/>
      <c r="AK49" s="117"/>
      <c r="AL49" s="115" t="s">
        <v>216</v>
      </c>
      <c r="AM49" s="115" t="s">
        <v>216</v>
      </c>
      <c r="AN49" s="116"/>
      <c r="AO49" s="116"/>
      <c r="AP49" s="116"/>
      <c r="AQ49" s="116"/>
      <c r="AR49" s="116"/>
      <c r="AS49" s="116"/>
      <c r="AT49" s="116"/>
      <c r="AU49" s="204">
        <f t="shared" si="2"/>
        <v>631000870</v>
      </c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11">
        <f>BK51</f>
        <v>441000870</v>
      </c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04">
        <f>SUM(CA51:CP52)</f>
        <v>0</v>
      </c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>
        <f>SUM(CS51:DH52)</f>
        <v>0</v>
      </c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>
        <v>190000000</v>
      </c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>
        <f>SUM(DY51:EN52)</f>
        <v>0</v>
      </c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</row>
    <row r="50" spans="1:144" s="5" customFormat="1" ht="15">
      <c r="A50" s="114"/>
      <c r="B50" s="206" t="s">
        <v>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13"/>
      <c r="AD50" s="213"/>
      <c r="AE50" s="213"/>
      <c r="AF50" s="213"/>
      <c r="AG50" s="213"/>
      <c r="AH50" s="213"/>
      <c r="AI50" s="117"/>
      <c r="AJ50" s="117"/>
      <c r="AK50" s="117"/>
      <c r="AL50" s="213" t="s">
        <v>15</v>
      </c>
      <c r="AM50" s="213"/>
      <c r="AN50" s="213"/>
      <c r="AO50" s="213"/>
      <c r="AP50" s="213"/>
      <c r="AQ50" s="213"/>
      <c r="AR50" s="213"/>
      <c r="AS50" s="213"/>
      <c r="AT50" s="213"/>
      <c r="AU50" s="212" t="s">
        <v>15</v>
      </c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05" t="s">
        <v>15</v>
      </c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12" t="s">
        <v>15</v>
      </c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05" t="s">
        <v>15</v>
      </c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 t="s">
        <v>15</v>
      </c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 t="s">
        <v>15</v>
      </c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</row>
    <row r="51" spans="1:144" s="5" customFormat="1" ht="27" customHeight="1">
      <c r="A51" s="114"/>
      <c r="B51" s="206" t="s">
        <v>211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13"/>
      <c r="AD51" s="213"/>
      <c r="AE51" s="213"/>
      <c r="AF51" s="213"/>
      <c r="AG51" s="213"/>
      <c r="AH51" s="213"/>
      <c r="AI51" s="117"/>
      <c r="AJ51" s="117"/>
      <c r="AK51" s="117"/>
      <c r="AL51" s="115" t="s">
        <v>216</v>
      </c>
      <c r="AM51" s="115" t="s">
        <v>216</v>
      </c>
      <c r="AN51" s="116"/>
      <c r="AO51" s="116"/>
      <c r="AP51" s="116"/>
      <c r="AQ51" s="116"/>
      <c r="AR51" s="116"/>
      <c r="AS51" s="116"/>
      <c r="AT51" s="116"/>
      <c r="AU51" s="204">
        <f>BK51+CA51+CS51+DI51+DY51</f>
        <v>631000870</v>
      </c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5">
        <v>441000870</v>
      </c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04"/>
      <c r="CR51" s="204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>
        <v>190000000</v>
      </c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</row>
    <row r="52" spans="1:144" s="5" customFormat="1" ht="27" customHeight="1">
      <c r="A52" s="114"/>
      <c r="B52" s="206" t="s">
        <v>212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13"/>
      <c r="AD52" s="213"/>
      <c r="AE52" s="213"/>
      <c r="AF52" s="213"/>
      <c r="AG52" s="213"/>
      <c r="AH52" s="213"/>
      <c r="AI52" s="117"/>
      <c r="AJ52" s="117"/>
      <c r="AK52" s="117"/>
      <c r="AL52" s="115" t="s">
        <v>216</v>
      </c>
      <c r="AM52" s="115" t="s">
        <v>216</v>
      </c>
      <c r="AN52" s="116"/>
      <c r="AO52" s="116"/>
      <c r="AP52" s="116"/>
      <c r="AQ52" s="116"/>
      <c r="AR52" s="116"/>
      <c r="AS52" s="116"/>
      <c r="AT52" s="116"/>
      <c r="AU52" s="204">
        <f>BK52+CA52+CS52+DI52+DY52</f>
        <v>0</v>
      </c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04"/>
      <c r="CR52" s="204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</row>
    <row r="53" spans="1:144" s="5" customFormat="1" ht="27" customHeight="1">
      <c r="A53" s="114"/>
      <c r="B53" s="206" t="s">
        <v>213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13">
        <v>400</v>
      </c>
      <c r="AD53" s="213"/>
      <c r="AE53" s="213"/>
      <c r="AF53" s="213"/>
      <c r="AG53" s="213"/>
      <c r="AH53" s="213"/>
      <c r="AI53" s="117"/>
      <c r="AJ53" s="117"/>
      <c r="AK53" s="117"/>
      <c r="AL53" s="115" t="s">
        <v>216</v>
      </c>
      <c r="AM53" s="115" t="s">
        <v>216</v>
      </c>
      <c r="AN53" s="116"/>
      <c r="AO53" s="116"/>
      <c r="AP53" s="116"/>
      <c r="AQ53" s="116"/>
      <c r="AR53" s="116"/>
      <c r="AS53" s="116"/>
      <c r="AT53" s="116"/>
      <c r="AU53" s="204">
        <f>BK53+CA53+CS53+DI53+DY53</f>
        <v>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11">
        <f>SUM(BK55:BZ56)</f>
        <v>0</v>
      </c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04">
        <f>SUM(CA55:CP56)</f>
        <v>0</v>
      </c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>
        <f>SUM(CS55:DH56)</f>
        <v>0</v>
      </c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>
        <f>SUM(DI55:DX56)</f>
        <v>0</v>
      </c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>
        <f>SUM(DY55:EN56)</f>
        <v>0</v>
      </c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</row>
    <row r="54" spans="1:144" s="5" customFormat="1" ht="15">
      <c r="A54" s="114"/>
      <c r="B54" s="206" t="s">
        <v>1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13"/>
      <c r="AD54" s="213"/>
      <c r="AE54" s="213"/>
      <c r="AF54" s="213"/>
      <c r="AG54" s="213"/>
      <c r="AH54" s="213"/>
      <c r="AI54" s="117"/>
      <c r="AJ54" s="117"/>
      <c r="AK54" s="117"/>
      <c r="AL54" s="213" t="s">
        <v>15</v>
      </c>
      <c r="AM54" s="213"/>
      <c r="AN54" s="213"/>
      <c r="AO54" s="213"/>
      <c r="AP54" s="213"/>
      <c r="AQ54" s="213"/>
      <c r="AR54" s="213"/>
      <c r="AS54" s="213"/>
      <c r="AT54" s="213"/>
      <c r="AU54" s="212" t="s">
        <v>15</v>
      </c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05" t="s">
        <v>15</v>
      </c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12" t="s">
        <v>15</v>
      </c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05" t="s">
        <v>15</v>
      </c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 t="s">
        <v>15</v>
      </c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 t="s">
        <v>15</v>
      </c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</row>
    <row r="55" spans="1:144" s="5" customFormat="1" ht="27" customHeight="1">
      <c r="A55" s="114"/>
      <c r="B55" s="206" t="s">
        <v>214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13"/>
      <c r="AD55" s="213"/>
      <c r="AE55" s="213"/>
      <c r="AF55" s="213"/>
      <c r="AG55" s="213"/>
      <c r="AH55" s="213"/>
      <c r="AI55" s="117"/>
      <c r="AJ55" s="117"/>
      <c r="AK55" s="117"/>
      <c r="AL55" s="115" t="s">
        <v>216</v>
      </c>
      <c r="AM55" s="115" t="s">
        <v>216</v>
      </c>
      <c r="AN55" s="116"/>
      <c r="AO55" s="116"/>
      <c r="AP55" s="116"/>
      <c r="AQ55" s="116"/>
      <c r="AR55" s="116"/>
      <c r="AS55" s="116"/>
      <c r="AT55" s="116"/>
      <c r="AU55" s="204">
        <f>BK55+CA55+CS55+DI55+DY55</f>
        <v>0</v>
      </c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04"/>
      <c r="CR55" s="204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</row>
    <row r="56" spans="1:144" s="5" customFormat="1" ht="27" customHeight="1">
      <c r="A56" s="114"/>
      <c r="B56" s="206" t="s">
        <v>215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13"/>
      <c r="AD56" s="213"/>
      <c r="AE56" s="213"/>
      <c r="AF56" s="213"/>
      <c r="AG56" s="213"/>
      <c r="AH56" s="213"/>
      <c r="AI56" s="117"/>
      <c r="AJ56" s="117"/>
      <c r="AK56" s="117"/>
      <c r="AL56" s="115" t="s">
        <v>216</v>
      </c>
      <c r="AM56" s="115" t="s">
        <v>216</v>
      </c>
      <c r="AN56" s="116"/>
      <c r="AO56" s="116"/>
      <c r="AP56" s="116"/>
      <c r="AQ56" s="116"/>
      <c r="AR56" s="116"/>
      <c r="AS56" s="116"/>
      <c r="AT56" s="116"/>
      <c r="AU56" s="204">
        <f>BK56+CA56+CS56+DI56+DY56</f>
        <v>0</v>
      </c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04"/>
      <c r="CR56" s="204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</row>
    <row r="57" spans="1:144" s="24" customFormat="1" ht="27" customHeight="1">
      <c r="A57" s="114"/>
      <c r="B57" s="214" t="s">
        <v>76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3" t="s">
        <v>74</v>
      </c>
      <c r="AD57" s="213"/>
      <c r="AE57" s="213"/>
      <c r="AF57" s="213"/>
      <c r="AG57" s="213"/>
      <c r="AH57" s="213"/>
      <c r="AI57" s="213"/>
      <c r="AJ57" s="213"/>
      <c r="AK57" s="213"/>
      <c r="AL57" s="213"/>
      <c r="AM57" s="213" t="s">
        <v>15</v>
      </c>
      <c r="AN57" s="213"/>
      <c r="AO57" s="213"/>
      <c r="AP57" s="213"/>
      <c r="AQ57" s="213"/>
      <c r="AR57" s="213"/>
      <c r="AS57" s="213"/>
      <c r="AT57" s="213"/>
      <c r="AU57" s="204">
        <f>BK57+CA57+CS57+DI57+DY57</f>
        <v>52035423.9</v>
      </c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11">
        <v>3756303.32</v>
      </c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11">
        <v>0</v>
      </c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>
        <v>48279120.58</v>
      </c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>
        <v>0</v>
      </c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</row>
    <row r="58" spans="1:144" s="24" customFormat="1" ht="28.5" customHeight="1">
      <c r="A58" s="114"/>
      <c r="B58" s="214" t="s">
        <v>77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3" t="s">
        <v>75</v>
      </c>
      <c r="AD58" s="213"/>
      <c r="AE58" s="213"/>
      <c r="AF58" s="213"/>
      <c r="AG58" s="213"/>
      <c r="AH58" s="213"/>
      <c r="AI58" s="213"/>
      <c r="AJ58" s="213"/>
      <c r="AK58" s="213"/>
      <c r="AL58" s="213"/>
      <c r="AM58" s="213" t="s">
        <v>15</v>
      </c>
      <c r="AN58" s="213"/>
      <c r="AO58" s="213"/>
      <c r="AP58" s="213"/>
      <c r="AQ58" s="213"/>
      <c r="AR58" s="213"/>
      <c r="AS58" s="213"/>
      <c r="AT58" s="213"/>
      <c r="AU58" s="204">
        <f>BK58+CA58+CS58+DI58+DY58</f>
        <v>23279120.58</v>
      </c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11">
        <f>BK51+BK57-BK16</f>
        <v>0</v>
      </c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11">
        <v>0</v>
      </c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>
        <f>DI51+DI57-DI16</f>
        <v>23279120.58</v>
      </c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>
        <v>0</v>
      </c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</row>
    <row r="61" spans="48:91" ht="20.25"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</row>
  </sheetData>
  <sheetProtection formatCells="0" formatColumns="0" formatRows="0" insertColumns="0" insertRows="0" insertHyperlinks="0" deleteColumns="0" deleteRows="0" sort="0" autoFilter="0" pivotTables="0"/>
  <mergeCells count="447">
    <mergeCell ref="CQ58:CR58"/>
    <mergeCell ref="CS58:DH58"/>
    <mergeCell ref="DI58:DX58"/>
    <mergeCell ref="DY58:EN58"/>
    <mergeCell ref="CQ57:CR57"/>
    <mergeCell ref="CS57:DH57"/>
    <mergeCell ref="DI57:DX57"/>
    <mergeCell ref="DY57:EN57"/>
    <mergeCell ref="B58:AB58"/>
    <mergeCell ref="AC58:AL58"/>
    <mergeCell ref="AM58:AT58"/>
    <mergeCell ref="AU58:BJ58"/>
    <mergeCell ref="BK58:BZ58"/>
    <mergeCell ref="CA58:CP58"/>
    <mergeCell ref="B57:AB57"/>
    <mergeCell ref="AC57:AL57"/>
    <mergeCell ref="AM57:AT57"/>
    <mergeCell ref="AU57:BJ57"/>
    <mergeCell ref="BK57:BZ57"/>
    <mergeCell ref="CA57:CP57"/>
    <mergeCell ref="DY55:EN55"/>
    <mergeCell ref="B56:AB56"/>
    <mergeCell ref="AU56:BJ56"/>
    <mergeCell ref="BK56:BZ56"/>
    <mergeCell ref="CA56:CP56"/>
    <mergeCell ref="CQ56:CR56"/>
    <mergeCell ref="CS56:DH56"/>
    <mergeCell ref="DI56:DX56"/>
    <mergeCell ref="DY56:EN56"/>
    <mergeCell ref="CS54:DH54"/>
    <mergeCell ref="DI54:DX54"/>
    <mergeCell ref="DY54:EN54"/>
    <mergeCell ref="B55:AB55"/>
    <mergeCell ref="AU55:BJ55"/>
    <mergeCell ref="BK55:BZ55"/>
    <mergeCell ref="CA55:CP55"/>
    <mergeCell ref="CQ55:CR55"/>
    <mergeCell ref="CS55:DH55"/>
    <mergeCell ref="DI55:DX55"/>
    <mergeCell ref="DY42:EK42"/>
    <mergeCell ref="AC49:AH52"/>
    <mergeCell ref="AL50:AT50"/>
    <mergeCell ref="AC53:AH56"/>
    <mergeCell ref="B54:AB54"/>
    <mergeCell ref="AL54:AT54"/>
    <mergeCell ref="AU54:BJ54"/>
    <mergeCell ref="BK54:BZ54"/>
    <mergeCell ref="CA54:CP54"/>
    <mergeCell ref="CQ54:CR54"/>
    <mergeCell ref="BK37:BZ37"/>
    <mergeCell ref="CQ37:CR37"/>
    <mergeCell ref="CS37:DH37"/>
    <mergeCell ref="DI37:DX37"/>
    <mergeCell ref="DY37:EN37"/>
    <mergeCell ref="AL38:AT38"/>
    <mergeCell ref="CA37:CP37"/>
    <mergeCell ref="AC36:AH36"/>
    <mergeCell ref="AU36:BE36"/>
    <mergeCell ref="AC37:AK48"/>
    <mergeCell ref="AL37:AT37"/>
    <mergeCell ref="AU37:BJ37"/>
    <mergeCell ref="AU42:BE42"/>
    <mergeCell ref="AU43:BJ43"/>
    <mergeCell ref="DY32:EK32"/>
    <mergeCell ref="A33:AB33"/>
    <mergeCell ref="DY33:EK33"/>
    <mergeCell ref="A34:AB34"/>
    <mergeCell ref="DY34:EK34"/>
    <mergeCell ref="DI33:DX33"/>
    <mergeCell ref="CS34:DH34"/>
    <mergeCell ref="DI34:DX34"/>
    <mergeCell ref="DI32:DX32"/>
    <mergeCell ref="CQ30:CR30"/>
    <mergeCell ref="DY30:EK30"/>
    <mergeCell ref="A31:AB31"/>
    <mergeCell ref="AU31:BJ31"/>
    <mergeCell ref="CQ31:CR31"/>
    <mergeCell ref="DY31:EK31"/>
    <mergeCell ref="CS30:DH30"/>
    <mergeCell ref="DI30:DX30"/>
    <mergeCell ref="AU30:BJ30"/>
    <mergeCell ref="DI31:DX31"/>
    <mergeCell ref="A1:EN1"/>
    <mergeCell ref="BE2:BJ2"/>
    <mergeCell ref="BK2:BN2"/>
    <mergeCell ref="BO2:BQ2"/>
    <mergeCell ref="BR2:CI2"/>
    <mergeCell ref="CJ2:CM2"/>
    <mergeCell ref="CN2:CQ2"/>
    <mergeCell ref="CR2:CU2"/>
    <mergeCell ref="A4:AB7"/>
    <mergeCell ref="AC4:AK7"/>
    <mergeCell ref="AL4:AT7"/>
    <mergeCell ref="AU4:EN4"/>
    <mergeCell ref="AU5:BJ7"/>
    <mergeCell ref="BK5:EN5"/>
    <mergeCell ref="BK6:BZ7"/>
    <mergeCell ref="CA6:CR7"/>
    <mergeCell ref="CS6:DH7"/>
    <mergeCell ref="DI6:EN6"/>
    <mergeCell ref="DI7:DX7"/>
    <mergeCell ref="DY7:EN7"/>
    <mergeCell ref="A8:AB8"/>
    <mergeCell ref="AC8:AK8"/>
    <mergeCell ref="AL8:AT8"/>
    <mergeCell ref="AU8:BJ8"/>
    <mergeCell ref="BK8:BZ8"/>
    <mergeCell ref="CA8:CR8"/>
    <mergeCell ref="CS8:DH8"/>
    <mergeCell ref="DI8:DX8"/>
    <mergeCell ref="DY8:EN8"/>
    <mergeCell ref="B9:AB9"/>
    <mergeCell ref="AC9:AK9"/>
    <mergeCell ref="AL9:AT9"/>
    <mergeCell ref="AU9:BJ9"/>
    <mergeCell ref="BK9:BZ9"/>
    <mergeCell ref="CA9:CR9"/>
    <mergeCell ref="CS9:DH9"/>
    <mergeCell ref="DI9:DX9"/>
    <mergeCell ref="DY9:EN9"/>
    <mergeCell ref="BK10:BZ10"/>
    <mergeCell ref="CA10:CR10"/>
    <mergeCell ref="CS10:DH10"/>
    <mergeCell ref="DI10:DX10"/>
    <mergeCell ref="B10:AB10"/>
    <mergeCell ref="AC10:AK10"/>
    <mergeCell ref="AL10:AT10"/>
    <mergeCell ref="AU10:BJ10"/>
    <mergeCell ref="DY10:EN10"/>
    <mergeCell ref="B11:AB11"/>
    <mergeCell ref="AC11:AK11"/>
    <mergeCell ref="AL11:AT11"/>
    <mergeCell ref="AU11:BJ11"/>
    <mergeCell ref="BK11:BZ11"/>
    <mergeCell ref="CA11:CR11"/>
    <mergeCell ref="CS11:DH11"/>
    <mergeCell ref="DI11:DX11"/>
    <mergeCell ref="DY11:EN11"/>
    <mergeCell ref="BK12:BZ12"/>
    <mergeCell ref="CA12:CR12"/>
    <mergeCell ref="CS12:DH12"/>
    <mergeCell ref="DI12:DX12"/>
    <mergeCell ref="B12:AB12"/>
    <mergeCell ref="AC12:AK12"/>
    <mergeCell ref="AL12:AT12"/>
    <mergeCell ref="AU12:BJ12"/>
    <mergeCell ref="DY12:EN12"/>
    <mergeCell ref="B13:AB13"/>
    <mergeCell ref="AC13:AK13"/>
    <mergeCell ref="AL13:AT13"/>
    <mergeCell ref="AU13:BJ13"/>
    <mergeCell ref="BK13:BZ13"/>
    <mergeCell ref="CA13:CR13"/>
    <mergeCell ref="CS13:DH13"/>
    <mergeCell ref="DI13:DX13"/>
    <mergeCell ref="DY13:EN13"/>
    <mergeCell ref="BK14:BZ14"/>
    <mergeCell ref="CA14:CR14"/>
    <mergeCell ref="CS14:DH14"/>
    <mergeCell ref="DI14:DX14"/>
    <mergeCell ref="B14:AB14"/>
    <mergeCell ref="AC14:AK14"/>
    <mergeCell ref="AL14:AT14"/>
    <mergeCell ref="AU14:BJ14"/>
    <mergeCell ref="DY14:EN14"/>
    <mergeCell ref="B15:EN15"/>
    <mergeCell ref="B16:AB16"/>
    <mergeCell ref="AC16:AK16"/>
    <mergeCell ref="AL16:AT16"/>
    <mergeCell ref="AU16:BJ16"/>
    <mergeCell ref="BK16:BZ16"/>
    <mergeCell ref="CA16:CP16"/>
    <mergeCell ref="CQ16:CR16"/>
    <mergeCell ref="CS16:DH16"/>
    <mergeCell ref="DI16:DX16"/>
    <mergeCell ref="DY16:EN16"/>
    <mergeCell ref="B17:AB17"/>
    <mergeCell ref="AC17:AK21"/>
    <mergeCell ref="AL17:AT17"/>
    <mergeCell ref="AU17:BJ17"/>
    <mergeCell ref="BK17:BZ17"/>
    <mergeCell ref="CA17:CP17"/>
    <mergeCell ref="CQ17:CR17"/>
    <mergeCell ref="CS17:DH17"/>
    <mergeCell ref="DI17:DX17"/>
    <mergeCell ref="DY17:EN17"/>
    <mergeCell ref="B18:AB18"/>
    <mergeCell ref="AL18:AT18"/>
    <mergeCell ref="AU18:BJ18"/>
    <mergeCell ref="BK18:BZ18"/>
    <mergeCell ref="CA18:CP18"/>
    <mergeCell ref="CQ18:CR18"/>
    <mergeCell ref="CS18:DH18"/>
    <mergeCell ref="DI18:DX18"/>
    <mergeCell ref="DY18:EN18"/>
    <mergeCell ref="B19:AB19"/>
    <mergeCell ref="AU19:BJ19"/>
    <mergeCell ref="BK19:BZ19"/>
    <mergeCell ref="CA19:CP19"/>
    <mergeCell ref="CQ19:CR19"/>
    <mergeCell ref="CS19:DH19"/>
    <mergeCell ref="DI19:DX19"/>
    <mergeCell ref="DY19:EN19"/>
    <mergeCell ref="CQ20:CR20"/>
    <mergeCell ref="CS20:DH20"/>
    <mergeCell ref="DI20:DX20"/>
    <mergeCell ref="DY20:EN20"/>
    <mergeCell ref="B20:AB20"/>
    <mergeCell ref="AU20:BJ20"/>
    <mergeCell ref="BK20:BZ20"/>
    <mergeCell ref="CA20:CP20"/>
    <mergeCell ref="CQ21:CR21"/>
    <mergeCell ref="CS21:DH21"/>
    <mergeCell ref="DI21:DX21"/>
    <mergeCell ref="DY21:EN21"/>
    <mergeCell ref="B21:AB21"/>
    <mergeCell ref="AU21:BJ21"/>
    <mergeCell ref="BK21:BZ21"/>
    <mergeCell ref="CA21:CP21"/>
    <mergeCell ref="B22:AB22"/>
    <mergeCell ref="AC22:AH24"/>
    <mergeCell ref="AL22:AM22"/>
    <mergeCell ref="AU22:BE22"/>
    <mergeCell ref="B24:AB24"/>
    <mergeCell ref="AU24:BE24"/>
    <mergeCell ref="CQ23:CR23"/>
    <mergeCell ref="CS23:DH23"/>
    <mergeCell ref="DI23:DX23"/>
    <mergeCell ref="DY23:EN23"/>
    <mergeCell ref="BK22:BZ22"/>
    <mergeCell ref="CA22:CP22"/>
    <mergeCell ref="CS22:DH22"/>
    <mergeCell ref="DI22:DX22"/>
    <mergeCell ref="BK24:BZ24"/>
    <mergeCell ref="CA24:CP24"/>
    <mergeCell ref="CS24:DH24"/>
    <mergeCell ref="DI24:DX24"/>
    <mergeCell ref="DY22:EN22"/>
    <mergeCell ref="B23:AB23"/>
    <mergeCell ref="AL23:AT23"/>
    <mergeCell ref="AU23:BJ23"/>
    <mergeCell ref="BK23:BZ23"/>
    <mergeCell ref="CA23:CP23"/>
    <mergeCell ref="DY24:EN24"/>
    <mergeCell ref="B25:AB25"/>
    <mergeCell ref="AL25:AT25"/>
    <mergeCell ref="AU25:BJ25"/>
    <mergeCell ref="BK25:BZ25"/>
    <mergeCell ref="CA25:CP25"/>
    <mergeCell ref="CQ25:CR25"/>
    <mergeCell ref="CS25:DH25"/>
    <mergeCell ref="DI25:DX25"/>
    <mergeCell ref="DY25:EN25"/>
    <mergeCell ref="B26:AB26"/>
    <mergeCell ref="AL26:AT26"/>
    <mergeCell ref="AU26:BJ26"/>
    <mergeCell ref="BK26:BZ26"/>
    <mergeCell ref="CA26:CP26"/>
    <mergeCell ref="CQ26:CR26"/>
    <mergeCell ref="CS26:DH26"/>
    <mergeCell ref="DI26:DX26"/>
    <mergeCell ref="DY26:EN26"/>
    <mergeCell ref="CQ27:CR27"/>
    <mergeCell ref="CS27:DH27"/>
    <mergeCell ref="DI27:DX27"/>
    <mergeCell ref="DY27:EN27"/>
    <mergeCell ref="B27:AB27"/>
    <mergeCell ref="AU27:BJ27"/>
    <mergeCell ref="BK27:BZ27"/>
    <mergeCell ref="CA27:CP27"/>
    <mergeCell ref="AC25:AK34"/>
    <mergeCell ref="A28:AB28"/>
    <mergeCell ref="A29:AB29"/>
    <mergeCell ref="CA30:CP30"/>
    <mergeCell ref="BK30:BZ30"/>
    <mergeCell ref="A30:AB30"/>
    <mergeCell ref="CQ28:CR28"/>
    <mergeCell ref="CS28:DH28"/>
    <mergeCell ref="DI28:DX28"/>
    <mergeCell ref="DY28:EN28"/>
    <mergeCell ref="AU28:BJ28"/>
    <mergeCell ref="BK28:BZ28"/>
    <mergeCell ref="CA28:CP28"/>
    <mergeCell ref="CQ29:CR29"/>
    <mergeCell ref="CS29:DH29"/>
    <mergeCell ref="DI29:DX29"/>
    <mergeCell ref="DY29:EN29"/>
    <mergeCell ref="AU29:BJ29"/>
    <mergeCell ref="BK29:BZ29"/>
    <mergeCell ref="CA29:CP29"/>
    <mergeCell ref="B41:AB41"/>
    <mergeCell ref="AU41:BJ41"/>
    <mergeCell ref="B43:AB43"/>
    <mergeCell ref="CA31:CP31"/>
    <mergeCell ref="AU32:BJ32"/>
    <mergeCell ref="B39:AB39"/>
    <mergeCell ref="B42:AB42"/>
    <mergeCell ref="AU33:BJ33"/>
    <mergeCell ref="A32:AB32"/>
    <mergeCell ref="AC35:AH35"/>
    <mergeCell ref="CS31:DH31"/>
    <mergeCell ref="BK32:BZ32"/>
    <mergeCell ref="CA32:CP32"/>
    <mergeCell ref="CQ32:CR32"/>
    <mergeCell ref="CS32:DH32"/>
    <mergeCell ref="CQ33:CR33"/>
    <mergeCell ref="CS33:DH33"/>
    <mergeCell ref="BK33:BZ33"/>
    <mergeCell ref="CA33:CP33"/>
    <mergeCell ref="BK31:BZ31"/>
    <mergeCell ref="DI36:DX36"/>
    <mergeCell ref="DY36:EN36"/>
    <mergeCell ref="B35:AB35"/>
    <mergeCell ref="AU34:BJ34"/>
    <mergeCell ref="BK34:BZ34"/>
    <mergeCell ref="CA34:CP34"/>
    <mergeCell ref="CQ34:CR34"/>
    <mergeCell ref="CS35:DH35"/>
    <mergeCell ref="DY35:EN35"/>
    <mergeCell ref="AU35:BE35"/>
    <mergeCell ref="B36:AB36"/>
    <mergeCell ref="BK36:BZ36"/>
    <mergeCell ref="CA36:CP36"/>
    <mergeCell ref="CS38:DH38"/>
    <mergeCell ref="DI38:DX38"/>
    <mergeCell ref="DY38:EN38"/>
    <mergeCell ref="B37:AB37"/>
    <mergeCell ref="B38:AB38"/>
    <mergeCell ref="AU38:BJ38"/>
    <mergeCell ref="CS36:DH36"/>
    <mergeCell ref="DI35:DX35"/>
    <mergeCell ref="BK35:BZ35"/>
    <mergeCell ref="CA35:CP35"/>
    <mergeCell ref="BK39:BZ39"/>
    <mergeCell ref="CA39:CP39"/>
    <mergeCell ref="CQ39:CR39"/>
    <mergeCell ref="CS39:DH39"/>
    <mergeCell ref="BK38:BZ38"/>
    <mergeCell ref="CA38:CP38"/>
    <mergeCell ref="CQ38:CR38"/>
    <mergeCell ref="DY39:EN39"/>
    <mergeCell ref="B40:AB40"/>
    <mergeCell ref="AU40:BJ40"/>
    <mergeCell ref="BK40:BZ40"/>
    <mergeCell ref="CA40:CP40"/>
    <mergeCell ref="CQ40:CR40"/>
    <mergeCell ref="CS40:DH40"/>
    <mergeCell ref="DI40:DX40"/>
    <mergeCell ref="DY40:EN40"/>
    <mergeCell ref="AU39:BJ39"/>
    <mergeCell ref="CQ41:CR41"/>
    <mergeCell ref="CS41:DH41"/>
    <mergeCell ref="BK42:BX42"/>
    <mergeCell ref="CS42:DF42"/>
    <mergeCell ref="DI39:DX39"/>
    <mergeCell ref="DI42:DU42"/>
    <mergeCell ref="DI41:DX41"/>
    <mergeCell ref="DY41:EN41"/>
    <mergeCell ref="BK41:BZ41"/>
    <mergeCell ref="CA41:CP41"/>
    <mergeCell ref="CA42:CP42"/>
    <mergeCell ref="DI43:DX43"/>
    <mergeCell ref="DY43:EN43"/>
    <mergeCell ref="BK43:BZ43"/>
    <mergeCell ref="CA43:CP43"/>
    <mergeCell ref="CQ43:CR43"/>
    <mergeCell ref="CS43:DH43"/>
    <mergeCell ref="CS45:DH45"/>
    <mergeCell ref="DI45:DX45"/>
    <mergeCell ref="DY45:EN45"/>
    <mergeCell ref="B44:AB44"/>
    <mergeCell ref="AU44:BJ44"/>
    <mergeCell ref="BK44:BZ44"/>
    <mergeCell ref="CA44:CP44"/>
    <mergeCell ref="CQ44:CR44"/>
    <mergeCell ref="CS44:DH44"/>
    <mergeCell ref="CA47:CP47"/>
    <mergeCell ref="CA48:CP48"/>
    <mergeCell ref="CQ48:CR48"/>
    <mergeCell ref="DI44:DX44"/>
    <mergeCell ref="DY44:EN44"/>
    <mergeCell ref="B45:AB45"/>
    <mergeCell ref="AU45:BJ45"/>
    <mergeCell ref="BK45:BZ45"/>
    <mergeCell ref="CA45:CP45"/>
    <mergeCell ref="CQ45:CR45"/>
    <mergeCell ref="B46:AB46"/>
    <mergeCell ref="AU46:BJ46"/>
    <mergeCell ref="BK46:BZ46"/>
    <mergeCell ref="CA46:CP46"/>
    <mergeCell ref="CQ46:CR46"/>
    <mergeCell ref="CS46:DH46"/>
    <mergeCell ref="DI46:DX46"/>
    <mergeCell ref="DY46:EN46"/>
    <mergeCell ref="BK48:BZ48"/>
    <mergeCell ref="CQ47:CR47"/>
    <mergeCell ref="CS47:DH47"/>
    <mergeCell ref="DI47:DX47"/>
    <mergeCell ref="DY47:EN47"/>
    <mergeCell ref="CS48:DH48"/>
    <mergeCell ref="DI48:DX48"/>
    <mergeCell ref="DY48:EN48"/>
    <mergeCell ref="B48:AB48"/>
    <mergeCell ref="AU48:BJ48"/>
    <mergeCell ref="B49:AB49"/>
    <mergeCell ref="B47:AB47"/>
    <mergeCell ref="AU47:BJ47"/>
    <mergeCell ref="BK49:BZ49"/>
    <mergeCell ref="BK47:BZ47"/>
    <mergeCell ref="CA49:CP49"/>
    <mergeCell ref="CQ49:CR49"/>
    <mergeCell ref="CS49:DH49"/>
    <mergeCell ref="DI49:DX49"/>
    <mergeCell ref="B51:AB51"/>
    <mergeCell ref="AU51:BJ51"/>
    <mergeCell ref="BK51:BZ51"/>
    <mergeCell ref="CA51:CP51"/>
    <mergeCell ref="CQ51:CR51"/>
    <mergeCell ref="CS51:DH51"/>
    <mergeCell ref="DY49:EN49"/>
    <mergeCell ref="B50:AB50"/>
    <mergeCell ref="AU50:BJ50"/>
    <mergeCell ref="BK50:BZ50"/>
    <mergeCell ref="CA50:CP50"/>
    <mergeCell ref="CQ50:CR50"/>
    <mergeCell ref="CS50:DH50"/>
    <mergeCell ref="DI50:DX50"/>
    <mergeCell ref="DY50:EN50"/>
    <mergeCell ref="AU49:BJ49"/>
    <mergeCell ref="DI51:DX51"/>
    <mergeCell ref="DY51:EN51"/>
    <mergeCell ref="B52:AB52"/>
    <mergeCell ref="AU52:BJ52"/>
    <mergeCell ref="BK52:BZ52"/>
    <mergeCell ref="CA52:CP52"/>
    <mergeCell ref="BK53:BZ53"/>
    <mergeCell ref="CA53:CP53"/>
    <mergeCell ref="CQ53:CR53"/>
    <mergeCell ref="CS53:DH53"/>
    <mergeCell ref="B53:AB53"/>
    <mergeCell ref="AU53:BJ53"/>
    <mergeCell ref="DI53:DX53"/>
    <mergeCell ref="DY53:EN53"/>
    <mergeCell ref="CQ52:CR52"/>
    <mergeCell ref="CS52:DH52"/>
    <mergeCell ref="DI52:DX52"/>
    <mergeCell ref="DY52:EN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61"/>
  <sheetViews>
    <sheetView view="pageBreakPreview" zoomScale="115" zoomScaleSheetLayoutView="115" zoomScalePageLayoutView="0" workbookViewId="0" topLeftCell="A43">
      <selection activeCell="A1" sqref="A1:EN58"/>
    </sheetView>
  </sheetViews>
  <sheetFormatPr defaultColWidth="0.875" defaultRowHeight="12.75"/>
  <cols>
    <col min="1" max="33" width="0.875" style="1" customWidth="1"/>
    <col min="34" max="34" width="1.75390625" style="1" customWidth="1"/>
    <col min="35" max="37" width="0.875" style="1" hidden="1" customWidth="1"/>
    <col min="38" max="39" width="5.375" style="31" customWidth="1"/>
    <col min="40" max="40" width="0.12890625" style="1" hidden="1" customWidth="1"/>
    <col min="41" max="41" width="0.2421875" style="1" hidden="1" customWidth="1"/>
    <col min="42" max="46" width="0.875" style="1" hidden="1" customWidth="1"/>
    <col min="47" max="56" width="0.875" style="1" customWidth="1"/>
    <col min="57" max="57" width="4.125" style="1" customWidth="1"/>
    <col min="58" max="59" width="0.875" style="1" hidden="1" customWidth="1"/>
    <col min="60" max="60" width="0.2421875" style="1" hidden="1" customWidth="1"/>
    <col min="61" max="62" width="0.875" style="1" hidden="1" customWidth="1"/>
    <col min="63" max="75" width="0.875" style="1" customWidth="1"/>
    <col min="76" max="76" width="0.6171875" style="1" customWidth="1"/>
    <col min="77" max="78" width="0.875" style="1" hidden="1" customWidth="1"/>
    <col min="79" max="94" width="0.875" style="1" customWidth="1"/>
    <col min="95" max="96" width="0.875" style="1" hidden="1" customWidth="1"/>
    <col min="97" max="110" width="0.875" style="1" customWidth="1"/>
    <col min="111" max="112" width="0.875" style="1" hidden="1" customWidth="1"/>
    <col min="113" max="123" width="0.875" style="1" customWidth="1"/>
    <col min="124" max="124" width="2.25390625" style="1" customWidth="1"/>
    <col min="125" max="128" width="0.875" style="1" hidden="1" customWidth="1"/>
    <col min="129" max="140" width="0.875" style="1" customWidth="1"/>
    <col min="141" max="141" width="0.74609375" style="1" customWidth="1"/>
    <col min="142" max="143" width="0.875" style="1" hidden="1" customWidth="1"/>
    <col min="144" max="144" width="0.12890625" style="1" customWidth="1"/>
    <col min="145" max="16384" width="0.875" style="1" customWidth="1"/>
  </cols>
  <sheetData>
    <row r="1" spans="1:144" ht="15" customHeight="1">
      <c r="A1" s="210" t="s">
        <v>571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</row>
    <row r="2" spans="1:14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3"/>
      <c r="AM2" s="33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235" t="s">
        <v>26</v>
      </c>
      <c r="BF2" s="235"/>
      <c r="BG2" s="235"/>
      <c r="BH2" s="235"/>
      <c r="BI2" s="235"/>
      <c r="BJ2" s="235"/>
      <c r="BK2" s="143"/>
      <c r="BL2" s="143"/>
      <c r="BM2" s="143"/>
      <c r="BN2" s="143"/>
      <c r="BO2" s="157" t="s">
        <v>2</v>
      </c>
      <c r="BP2" s="157"/>
      <c r="BQ2" s="157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58">
        <v>20</v>
      </c>
      <c r="CK2" s="158"/>
      <c r="CL2" s="158"/>
      <c r="CM2" s="158"/>
      <c r="CN2" s="153" t="s">
        <v>104</v>
      </c>
      <c r="CO2" s="153"/>
      <c r="CP2" s="153"/>
      <c r="CQ2" s="153"/>
      <c r="CR2" s="150" t="s">
        <v>3</v>
      </c>
      <c r="CS2" s="150"/>
      <c r="CT2" s="150"/>
      <c r="CU2" s="150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</row>
    <row r="3" spans="1:14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  <c r="AM3" s="35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</row>
    <row r="4" spans="1:144" s="30" customFormat="1" ht="15" customHeight="1">
      <c r="A4" s="216" t="s">
        <v>34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 t="s">
        <v>28</v>
      </c>
      <c r="AD4" s="216"/>
      <c r="AE4" s="216"/>
      <c r="AF4" s="216"/>
      <c r="AG4" s="216"/>
      <c r="AH4" s="216"/>
      <c r="AI4" s="216"/>
      <c r="AJ4" s="216"/>
      <c r="AK4" s="216"/>
      <c r="AL4" s="216" t="s">
        <v>125</v>
      </c>
      <c r="AM4" s="216"/>
      <c r="AN4" s="216"/>
      <c r="AO4" s="216"/>
      <c r="AP4" s="216"/>
      <c r="AQ4" s="216"/>
      <c r="AR4" s="216"/>
      <c r="AS4" s="216"/>
      <c r="AT4" s="216"/>
      <c r="AU4" s="216" t="s">
        <v>30</v>
      </c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6"/>
      <c r="DS4" s="216"/>
      <c r="DT4" s="216"/>
      <c r="DU4" s="216"/>
      <c r="DV4" s="216"/>
      <c r="DW4" s="216"/>
      <c r="DX4" s="216"/>
      <c r="DY4" s="216"/>
      <c r="DZ4" s="216"/>
      <c r="EA4" s="216"/>
      <c r="EB4" s="216"/>
      <c r="EC4" s="216"/>
      <c r="ED4" s="216"/>
      <c r="EE4" s="216"/>
      <c r="EF4" s="216"/>
      <c r="EG4" s="216"/>
      <c r="EH4" s="216"/>
      <c r="EI4" s="216"/>
      <c r="EJ4" s="216"/>
      <c r="EK4" s="216"/>
      <c r="EL4" s="216"/>
      <c r="EM4" s="216"/>
      <c r="EN4" s="216"/>
    </row>
    <row r="5" spans="1:144" s="30" customFormat="1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 t="s">
        <v>218</v>
      </c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 t="s">
        <v>6</v>
      </c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</row>
    <row r="6" spans="1:144" s="30" customFormat="1" ht="67.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 t="s">
        <v>185</v>
      </c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 t="s">
        <v>35</v>
      </c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 t="s">
        <v>31</v>
      </c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 t="s">
        <v>32</v>
      </c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</row>
    <row r="7" spans="1:144" s="30" customFormat="1" ht="42.7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 t="s">
        <v>29</v>
      </c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 t="s">
        <v>33</v>
      </c>
      <c r="DZ7" s="216"/>
      <c r="EA7" s="216"/>
      <c r="EB7" s="216"/>
      <c r="EC7" s="216"/>
      <c r="ED7" s="216"/>
      <c r="EE7" s="216"/>
      <c r="EF7" s="216"/>
      <c r="EG7" s="216"/>
      <c r="EH7" s="216"/>
      <c r="EI7" s="216"/>
      <c r="EJ7" s="216"/>
      <c r="EK7" s="216"/>
      <c r="EL7" s="216"/>
      <c r="EM7" s="216"/>
      <c r="EN7" s="216"/>
    </row>
    <row r="8" spans="1:144" s="22" customFormat="1" ht="13.5">
      <c r="A8" s="217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 t="s">
        <v>37</v>
      </c>
      <c r="AD8" s="217"/>
      <c r="AE8" s="217"/>
      <c r="AF8" s="217"/>
      <c r="AG8" s="217"/>
      <c r="AH8" s="217"/>
      <c r="AI8" s="217"/>
      <c r="AJ8" s="217"/>
      <c r="AK8" s="217"/>
      <c r="AL8" s="217" t="s">
        <v>38</v>
      </c>
      <c r="AM8" s="217"/>
      <c r="AN8" s="217"/>
      <c r="AO8" s="217"/>
      <c r="AP8" s="217"/>
      <c r="AQ8" s="217"/>
      <c r="AR8" s="217"/>
      <c r="AS8" s="217"/>
      <c r="AT8" s="217"/>
      <c r="AU8" s="217">
        <v>4</v>
      </c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>
        <v>5</v>
      </c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>
        <v>6</v>
      </c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>
        <v>7</v>
      </c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>
        <v>8</v>
      </c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>
        <v>9</v>
      </c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</row>
    <row r="9" spans="1:144" s="24" customFormat="1" ht="30" customHeight="1">
      <c r="A9" s="100"/>
      <c r="B9" s="238" t="s">
        <v>36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9" t="s">
        <v>39</v>
      </c>
      <c r="AD9" s="239"/>
      <c r="AE9" s="239"/>
      <c r="AF9" s="239"/>
      <c r="AG9" s="239"/>
      <c r="AH9" s="239"/>
      <c r="AI9" s="239"/>
      <c r="AJ9" s="239"/>
      <c r="AK9" s="239"/>
      <c r="AL9" s="239" t="s">
        <v>15</v>
      </c>
      <c r="AM9" s="239"/>
      <c r="AN9" s="239"/>
      <c r="AO9" s="239"/>
      <c r="AP9" s="239"/>
      <c r="AQ9" s="239"/>
      <c r="AR9" s="239"/>
      <c r="AS9" s="239"/>
      <c r="AT9" s="239"/>
      <c r="AU9" s="211">
        <f>BK9+CA9+CS9+DI9+DY9</f>
        <v>631000870</v>
      </c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>
        <v>441000870</v>
      </c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>
        <f>CS13</f>
        <v>0</v>
      </c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>
        <v>190000000</v>
      </c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>
        <f>DY12+DY14+DY11</f>
        <v>0</v>
      </c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</row>
    <row r="10" spans="1:144" s="24" customFormat="1" ht="15" customHeight="1">
      <c r="A10" s="100"/>
      <c r="B10" s="237" t="s">
        <v>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 t="s">
        <v>15</v>
      </c>
      <c r="AM10" s="217"/>
      <c r="AN10" s="217"/>
      <c r="AO10" s="217"/>
      <c r="AP10" s="217"/>
      <c r="AQ10" s="217"/>
      <c r="AR10" s="217"/>
      <c r="AS10" s="217"/>
      <c r="AT10" s="217"/>
      <c r="AU10" s="236" t="s">
        <v>15</v>
      </c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 t="s">
        <v>15</v>
      </c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 t="s">
        <v>15</v>
      </c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 t="s">
        <v>15</v>
      </c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 t="s">
        <v>15</v>
      </c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 t="s">
        <v>15</v>
      </c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</row>
    <row r="11" spans="1:144" s="24" customFormat="1" ht="30" customHeight="1">
      <c r="A11" s="114"/>
      <c r="B11" s="206" t="s">
        <v>106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13">
        <v>110</v>
      </c>
      <c r="AD11" s="213"/>
      <c r="AE11" s="213"/>
      <c r="AF11" s="213"/>
      <c r="AG11" s="213"/>
      <c r="AH11" s="213"/>
      <c r="AI11" s="213"/>
      <c r="AJ11" s="213"/>
      <c r="AK11" s="213"/>
      <c r="AL11" s="213">
        <v>120</v>
      </c>
      <c r="AM11" s="213"/>
      <c r="AN11" s="213"/>
      <c r="AO11" s="213"/>
      <c r="AP11" s="213"/>
      <c r="AQ11" s="213"/>
      <c r="AR11" s="213"/>
      <c r="AS11" s="213"/>
      <c r="AT11" s="213"/>
      <c r="AU11" s="211">
        <f>DI11+DY11</f>
        <v>0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05" t="s">
        <v>15</v>
      </c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 t="s">
        <v>15</v>
      </c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 t="s">
        <v>15</v>
      </c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>
        <v>0</v>
      </c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>
        <v>0</v>
      </c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</row>
    <row r="12" spans="1:144" s="24" customFormat="1" ht="30" customHeight="1">
      <c r="A12" s="114"/>
      <c r="B12" s="206" t="s">
        <v>41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13" t="s">
        <v>42</v>
      </c>
      <c r="AD12" s="213"/>
      <c r="AE12" s="213"/>
      <c r="AF12" s="213"/>
      <c r="AG12" s="213"/>
      <c r="AH12" s="213"/>
      <c r="AI12" s="213"/>
      <c r="AJ12" s="213"/>
      <c r="AK12" s="213"/>
      <c r="AL12" s="213">
        <v>130</v>
      </c>
      <c r="AM12" s="213"/>
      <c r="AN12" s="213"/>
      <c r="AO12" s="213"/>
      <c r="AP12" s="213"/>
      <c r="AQ12" s="213"/>
      <c r="AR12" s="213"/>
      <c r="AS12" s="213"/>
      <c r="AT12" s="213"/>
      <c r="AU12" s="211">
        <f>BK12+DI12+DY12</f>
        <v>631000870</v>
      </c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05">
        <v>441000870</v>
      </c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 t="s">
        <v>15</v>
      </c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 t="s">
        <v>15</v>
      </c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>
        <v>190000000</v>
      </c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>
        <v>0</v>
      </c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</row>
    <row r="13" spans="1:144" s="24" customFormat="1" ht="28.5" customHeight="1">
      <c r="A13" s="114"/>
      <c r="B13" s="206" t="s">
        <v>44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13" t="s">
        <v>43</v>
      </c>
      <c r="AD13" s="213"/>
      <c r="AE13" s="213"/>
      <c r="AF13" s="213"/>
      <c r="AG13" s="213"/>
      <c r="AH13" s="213"/>
      <c r="AI13" s="213"/>
      <c r="AJ13" s="213"/>
      <c r="AK13" s="213"/>
      <c r="AL13" s="213">
        <v>180</v>
      </c>
      <c r="AM13" s="213"/>
      <c r="AN13" s="213"/>
      <c r="AO13" s="213"/>
      <c r="AP13" s="213"/>
      <c r="AQ13" s="213"/>
      <c r="AR13" s="213"/>
      <c r="AS13" s="213"/>
      <c r="AT13" s="213"/>
      <c r="AU13" s="205">
        <f>CA13+CS13</f>
        <v>0</v>
      </c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 t="s">
        <v>15</v>
      </c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>
        <v>0</v>
      </c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 t="s">
        <v>15</v>
      </c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 t="s">
        <v>15</v>
      </c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</row>
    <row r="14" spans="1:144" s="24" customFormat="1" ht="15" customHeight="1">
      <c r="A14" s="114"/>
      <c r="B14" s="206" t="s">
        <v>45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13" t="s">
        <v>46</v>
      </c>
      <c r="AD14" s="213"/>
      <c r="AE14" s="213"/>
      <c r="AF14" s="213"/>
      <c r="AG14" s="213"/>
      <c r="AH14" s="213"/>
      <c r="AI14" s="213"/>
      <c r="AJ14" s="213"/>
      <c r="AK14" s="213"/>
      <c r="AL14" s="213">
        <v>180</v>
      </c>
      <c r="AM14" s="213"/>
      <c r="AN14" s="213"/>
      <c r="AO14" s="213"/>
      <c r="AP14" s="213"/>
      <c r="AQ14" s="213"/>
      <c r="AR14" s="213"/>
      <c r="AS14" s="213"/>
      <c r="AT14" s="213"/>
      <c r="AU14" s="205">
        <f>DI14+DY14</f>
        <v>0</v>
      </c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 t="s">
        <v>15</v>
      </c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 t="s">
        <v>15</v>
      </c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 t="s">
        <v>15</v>
      </c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</row>
    <row r="15" spans="1:144" s="24" customFormat="1" ht="15" customHeight="1">
      <c r="A15" s="1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</row>
    <row r="16" spans="1:144" s="24" customFormat="1" ht="30" customHeight="1">
      <c r="A16" s="114"/>
      <c r="B16" s="214" t="s">
        <v>48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8" t="s">
        <v>47</v>
      </c>
      <c r="AD16" s="218"/>
      <c r="AE16" s="218"/>
      <c r="AF16" s="218"/>
      <c r="AG16" s="218"/>
      <c r="AH16" s="218"/>
      <c r="AI16" s="218"/>
      <c r="AJ16" s="218"/>
      <c r="AK16" s="218"/>
      <c r="AL16" s="218" t="s">
        <v>15</v>
      </c>
      <c r="AM16" s="218"/>
      <c r="AN16" s="218"/>
      <c r="AO16" s="218"/>
      <c r="AP16" s="218"/>
      <c r="AQ16" s="218"/>
      <c r="AR16" s="218"/>
      <c r="AS16" s="218"/>
      <c r="AT16" s="218"/>
      <c r="AU16" s="204">
        <f>BK16+CA16+CS16+DI16+DY16</f>
        <v>659757173.32</v>
      </c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>
        <f>BK17+BK22+BK25+BK35+BK36+BK37</f>
        <v>444757173.32</v>
      </c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>
        <f>CA17+CA22+CA25+CA35+CA36+CA37</f>
        <v>0</v>
      </c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>
        <f>CS17+CS22+CS25+CS35+CS36+CS37</f>
        <v>0</v>
      </c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>
        <f>DI17+DI22+DI25+DI35+DI36+DI37</f>
        <v>215000000</v>
      </c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>
        <f>DY17+DY22+DY25+DY35+DY36+DY37</f>
        <v>0</v>
      </c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</row>
    <row r="17" spans="1:144" s="24" customFormat="1" ht="30" customHeight="1">
      <c r="A17" s="114"/>
      <c r="B17" s="214" t="s">
        <v>50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3" t="s">
        <v>49</v>
      </c>
      <c r="AD17" s="213"/>
      <c r="AE17" s="213"/>
      <c r="AF17" s="213"/>
      <c r="AG17" s="213"/>
      <c r="AH17" s="213"/>
      <c r="AI17" s="213"/>
      <c r="AJ17" s="213"/>
      <c r="AK17" s="213"/>
      <c r="AL17" s="218" t="s">
        <v>40</v>
      </c>
      <c r="AM17" s="218"/>
      <c r="AN17" s="218"/>
      <c r="AO17" s="218"/>
      <c r="AP17" s="218"/>
      <c r="AQ17" s="218"/>
      <c r="AR17" s="218"/>
      <c r="AS17" s="218"/>
      <c r="AT17" s="218"/>
      <c r="AU17" s="204">
        <f>BK17+CA17+CS17+DI17+DY17</f>
        <v>531712000</v>
      </c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>
        <f>SUM(BK19:BZ21)</f>
        <v>354142000</v>
      </c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>
        <f>SUM(CA19:CP21)</f>
        <v>0</v>
      </c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>
        <f>SUM(CS19:DH21)</f>
        <v>0</v>
      </c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>
        <f>SUM(DI19:DX21)</f>
        <v>177570000</v>
      </c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>
        <f>SUM(DY19:EN21)</f>
        <v>0</v>
      </c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</row>
    <row r="18" spans="1:144" s="24" customFormat="1" ht="13.5">
      <c r="A18" s="114"/>
      <c r="B18" s="206" t="s">
        <v>1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 t="s">
        <v>15</v>
      </c>
      <c r="AM18" s="213"/>
      <c r="AN18" s="213"/>
      <c r="AO18" s="213"/>
      <c r="AP18" s="213"/>
      <c r="AQ18" s="213"/>
      <c r="AR18" s="213"/>
      <c r="AS18" s="213"/>
      <c r="AT18" s="213"/>
      <c r="AU18" s="212" t="s">
        <v>15</v>
      </c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05" t="s">
        <v>15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12" t="s">
        <v>15</v>
      </c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05" t="s">
        <v>15</v>
      </c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 t="s">
        <v>15</v>
      </c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 t="s">
        <v>15</v>
      </c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</row>
    <row r="19" spans="1:144" s="24" customFormat="1" ht="13.5">
      <c r="A19" s="114"/>
      <c r="B19" s="206" t="s">
        <v>51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13"/>
      <c r="AD19" s="213"/>
      <c r="AE19" s="213"/>
      <c r="AF19" s="213"/>
      <c r="AG19" s="213"/>
      <c r="AH19" s="213"/>
      <c r="AI19" s="213"/>
      <c r="AJ19" s="213"/>
      <c r="AK19" s="213"/>
      <c r="AL19" s="115" t="s">
        <v>53</v>
      </c>
      <c r="AM19" s="115" t="s">
        <v>57</v>
      </c>
      <c r="AN19" s="116"/>
      <c r="AO19" s="116"/>
      <c r="AP19" s="116"/>
      <c r="AQ19" s="116"/>
      <c r="AR19" s="116"/>
      <c r="AS19" s="116"/>
      <c r="AT19" s="116"/>
      <c r="AU19" s="204">
        <f aca="true" t="shared" si="0" ref="AU19:AU25">BK19+CA19+CS19+DI19+DY19</f>
        <v>406000000</v>
      </c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5">
        <v>271000000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4"/>
      <c r="CR19" s="204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>
        <v>135000000</v>
      </c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</row>
    <row r="20" spans="1:144" s="24" customFormat="1" ht="27" customHeight="1">
      <c r="A20" s="114"/>
      <c r="B20" s="206" t="s">
        <v>52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13"/>
      <c r="AD20" s="213"/>
      <c r="AE20" s="213"/>
      <c r="AF20" s="213"/>
      <c r="AG20" s="213"/>
      <c r="AH20" s="213"/>
      <c r="AI20" s="213"/>
      <c r="AJ20" s="213"/>
      <c r="AK20" s="213"/>
      <c r="AL20" s="115" t="s">
        <v>54</v>
      </c>
      <c r="AM20" s="115" t="s">
        <v>108</v>
      </c>
      <c r="AN20" s="116"/>
      <c r="AO20" s="116"/>
      <c r="AP20" s="116"/>
      <c r="AQ20" s="116"/>
      <c r="AR20" s="116"/>
      <c r="AS20" s="116"/>
      <c r="AT20" s="116"/>
      <c r="AU20" s="204">
        <f t="shared" si="0"/>
        <v>122612000</v>
      </c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>
        <v>81842000</v>
      </c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4"/>
      <c r="CR20" s="204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>
        <v>40770000</v>
      </c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</row>
    <row r="21" spans="1:144" s="24" customFormat="1" ht="44.25" customHeight="1">
      <c r="A21" s="114"/>
      <c r="B21" s="206" t="s">
        <v>56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13"/>
      <c r="AD21" s="213"/>
      <c r="AE21" s="213"/>
      <c r="AF21" s="213"/>
      <c r="AG21" s="213"/>
      <c r="AH21" s="213"/>
      <c r="AI21" s="213"/>
      <c r="AJ21" s="213"/>
      <c r="AK21" s="213"/>
      <c r="AL21" s="115" t="s">
        <v>55</v>
      </c>
      <c r="AM21" s="115" t="s">
        <v>109</v>
      </c>
      <c r="AN21" s="116"/>
      <c r="AO21" s="116"/>
      <c r="AP21" s="116"/>
      <c r="AQ21" s="116"/>
      <c r="AR21" s="116"/>
      <c r="AS21" s="116"/>
      <c r="AT21" s="116"/>
      <c r="AU21" s="204">
        <f t="shared" si="0"/>
        <v>3100000</v>
      </c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5">
        <v>1300000</v>
      </c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4"/>
      <c r="CR21" s="204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>
        <v>1800000</v>
      </c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</row>
    <row r="22" spans="1:144" s="24" customFormat="1" ht="44.25" customHeight="1">
      <c r="A22" s="114"/>
      <c r="B22" s="214" t="s">
        <v>217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3">
        <v>220</v>
      </c>
      <c r="AD22" s="213"/>
      <c r="AE22" s="213"/>
      <c r="AF22" s="213"/>
      <c r="AG22" s="213"/>
      <c r="AH22" s="213"/>
      <c r="AI22" s="117"/>
      <c r="AJ22" s="117"/>
      <c r="AK22" s="117"/>
      <c r="AL22" s="219" t="s">
        <v>581</v>
      </c>
      <c r="AM22" s="219"/>
      <c r="AN22" s="116"/>
      <c r="AO22" s="116"/>
      <c r="AP22" s="116"/>
      <c r="AQ22" s="116"/>
      <c r="AR22" s="116"/>
      <c r="AS22" s="116"/>
      <c r="AT22" s="116"/>
      <c r="AU22" s="204">
        <f t="shared" si="0"/>
        <v>0</v>
      </c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118"/>
      <c r="BG22" s="118"/>
      <c r="BH22" s="118"/>
      <c r="BI22" s="118"/>
      <c r="BJ22" s="118"/>
      <c r="BK22" s="211">
        <f>BK24</f>
        <v>0</v>
      </c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>
        <f>CA24</f>
        <v>0</v>
      </c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118"/>
      <c r="CR22" s="118"/>
      <c r="CS22" s="211">
        <f>CS24</f>
        <v>0</v>
      </c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>
        <f>DI24</f>
        <v>0</v>
      </c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>
        <f>DY24</f>
        <v>0</v>
      </c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</row>
    <row r="23" spans="1:144" s="24" customFormat="1" ht="13.5">
      <c r="A23" s="114"/>
      <c r="B23" s="206" t="s">
        <v>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13"/>
      <c r="AD23" s="213"/>
      <c r="AE23" s="213"/>
      <c r="AF23" s="213"/>
      <c r="AG23" s="213"/>
      <c r="AH23" s="213"/>
      <c r="AI23" s="117"/>
      <c r="AJ23" s="117"/>
      <c r="AK23" s="117"/>
      <c r="AL23" s="213" t="s">
        <v>15</v>
      </c>
      <c r="AM23" s="213"/>
      <c r="AN23" s="213"/>
      <c r="AO23" s="213"/>
      <c r="AP23" s="213"/>
      <c r="AQ23" s="213"/>
      <c r="AR23" s="213"/>
      <c r="AS23" s="213"/>
      <c r="AT23" s="213"/>
      <c r="AU23" s="212" t="s">
        <v>15</v>
      </c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05" t="s">
        <v>15</v>
      </c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12" t="s">
        <v>15</v>
      </c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05" t="s">
        <v>15</v>
      </c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 t="s">
        <v>15</v>
      </c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 t="s">
        <v>15</v>
      </c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</row>
    <row r="24" spans="1:144" s="24" customFormat="1" ht="44.25" customHeight="1">
      <c r="A24" s="1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3"/>
      <c r="AD24" s="213"/>
      <c r="AE24" s="213"/>
      <c r="AF24" s="213"/>
      <c r="AG24" s="213"/>
      <c r="AH24" s="213"/>
      <c r="AI24" s="117"/>
      <c r="AJ24" s="117"/>
      <c r="AK24" s="117"/>
      <c r="AL24" s="115"/>
      <c r="AM24" s="115"/>
      <c r="AN24" s="116"/>
      <c r="AO24" s="116"/>
      <c r="AP24" s="116"/>
      <c r="AQ24" s="116"/>
      <c r="AR24" s="116"/>
      <c r="AS24" s="116"/>
      <c r="AT24" s="116"/>
      <c r="AU24" s="204">
        <f t="shared" si="0"/>
        <v>0</v>
      </c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118"/>
      <c r="BG24" s="118"/>
      <c r="BH24" s="118"/>
      <c r="BI24" s="118"/>
      <c r="BJ24" s="118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118"/>
      <c r="CR24" s="118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</row>
    <row r="25" spans="1:144" s="24" customFormat="1" ht="30" customHeight="1">
      <c r="A25" s="114"/>
      <c r="B25" s="232" t="s">
        <v>58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4"/>
      <c r="AC25" s="223" t="s">
        <v>63</v>
      </c>
      <c r="AD25" s="224"/>
      <c r="AE25" s="224"/>
      <c r="AF25" s="224"/>
      <c r="AG25" s="224"/>
      <c r="AH25" s="224"/>
      <c r="AI25" s="224"/>
      <c r="AJ25" s="224"/>
      <c r="AK25" s="225"/>
      <c r="AL25" s="218" t="s">
        <v>59</v>
      </c>
      <c r="AM25" s="218"/>
      <c r="AN25" s="218"/>
      <c r="AO25" s="218"/>
      <c r="AP25" s="218"/>
      <c r="AQ25" s="218"/>
      <c r="AR25" s="218"/>
      <c r="AS25" s="218"/>
      <c r="AT25" s="218"/>
      <c r="AU25" s="204">
        <f t="shared" si="0"/>
        <v>8610000</v>
      </c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11">
        <f>SUM(BK27:BZ34)</f>
        <v>6980000</v>
      </c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>
        <f>SUM(CA27:CP29)</f>
        <v>0</v>
      </c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04"/>
      <c r="CR25" s="204"/>
      <c r="CS25" s="211">
        <f>SUM(CS27:DH29)</f>
        <v>0</v>
      </c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>
        <f>SUM(DI27:DX34)</f>
        <v>1630000</v>
      </c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>
        <f>SUM(DY27:EN29)</f>
        <v>0</v>
      </c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</row>
    <row r="26" spans="1:144" s="24" customFormat="1" ht="15" customHeight="1">
      <c r="A26" s="114"/>
      <c r="B26" s="220" t="s">
        <v>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2"/>
      <c r="AC26" s="226"/>
      <c r="AD26" s="227"/>
      <c r="AE26" s="227"/>
      <c r="AF26" s="227"/>
      <c r="AG26" s="227"/>
      <c r="AH26" s="227"/>
      <c r="AI26" s="227"/>
      <c r="AJ26" s="227"/>
      <c r="AK26" s="228"/>
      <c r="AL26" s="213" t="s">
        <v>15</v>
      </c>
      <c r="AM26" s="213"/>
      <c r="AN26" s="213"/>
      <c r="AO26" s="213"/>
      <c r="AP26" s="213"/>
      <c r="AQ26" s="213"/>
      <c r="AR26" s="213"/>
      <c r="AS26" s="213"/>
      <c r="AT26" s="213"/>
      <c r="AU26" s="212" t="s">
        <v>15</v>
      </c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05" t="s">
        <v>15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12" t="s">
        <v>15</v>
      </c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05" t="s">
        <v>15</v>
      </c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 t="s">
        <v>15</v>
      </c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 t="s">
        <v>15</v>
      </c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</row>
    <row r="27" spans="1:144" s="24" customFormat="1" ht="32.25" customHeight="1">
      <c r="A27" s="114"/>
      <c r="B27" s="220" t="s">
        <v>60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2"/>
      <c r="AC27" s="226"/>
      <c r="AD27" s="227"/>
      <c r="AE27" s="227"/>
      <c r="AF27" s="227"/>
      <c r="AG27" s="227"/>
      <c r="AH27" s="227"/>
      <c r="AI27" s="227"/>
      <c r="AJ27" s="227"/>
      <c r="AK27" s="228"/>
      <c r="AL27" s="115" t="s">
        <v>110</v>
      </c>
      <c r="AM27" s="115" t="s">
        <v>124</v>
      </c>
      <c r="AN27" s="116"/>
      <c r="AO27" s="116"/>
      <c r="AP27" s="116"/>
      <c r="AQ27" s="116"/>
      <c r="AR27" s="116"/>
      <c r="AS27" s="116"/>
      <c r="AT27" s="116"/>
      <c r="AU27" s="204">
        <f aca="true" t="shared" si="1" ref="AU27:AU37">BK27+CA27+CS27+DI27+DY27</f>
        <v>5550000</v>
      </c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5">
        <v>5500000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4"/>
      <c r="CR27" s="204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>
        <v>50000</v>
      </c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</row>
    <row r="28" spans="1:144" s="24" customFormat="1" ht="27" customHeight="1">
      <c r="A28" s="220" t="s">
        <v>61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2"/>
      <c r="AC28" s="226"/>
      <c r="AD28" s="227"/>
      <c r="AE28" s="227"/>
      <c r="AF28" s="227"/>
      <c r="AG28" s="227"/>
      <c r="AH28" s="227"/>
      <c r="AI28" s="227"/>
      <c r="AJ28" s="227"/>
      <c r="AK28" s="228"/>
      <c r="AL28" s="115" t="s">
        <v>111</v>
      </c>
      <c r="AM28" s="115" t="s">
        <v>124</v>
      </c>
      <c r="AN28" s="116"/>
      <c r="AO28" s="116"/>
      <c r="AP28" s="116"/>
      <c r="AQ28" s="116"/>
      <c r="AR28" s="116"/>
      <c r="AS28" s="116"/>
      <c r="AT28" s="116"/>
      <c r="AU28" s="204">
        <f t="shared" si="1"/>
        <v>1260000</v>
      </c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5">
        <v>780000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4"/>
      <c r="CR28" s="204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>
        <v>480000</v>
      </c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</row>
    <row r="29" spans="1:144" s="24" customFormat="1" ht="15" customHeight="1">
      <c r="A29" s="220" t="s">
        <v>62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2"/>
      <c r="AC29" s="226"/>
      <c r="AD29" s="227"/>
      <c r="AE29" s="227"/>
      <c r="AF29" s="227"/>
      <c r="AG29" s="227"/>
      <c r="AH29" s="227"/>
      <c r="AI29" s="227"/>
      <c r="AJ29" s="227"/>
      <c r="AK29" s="228"/>
      <c r="AL29" s="115" t="s">
        <v>112</v>
      </c>
      <c r="AM29" s="115" t="s">
        <v>124</v>
      </c>
      <c r="AN29" s="116"/>
      <c r="AO29" s="116"/>
      <c r="AP29" s="116"/>
      <c r="AQ29" s="116"/>
      <c r="AR29" s="116"/>
      <c r="AS29" s="116"/>
      <c r="AT29" s="116"/>
      <c r="AU29" s="204">
        <f t="shared" si="1"/>
        <v>850000</v>
      </c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5">
        <v>200000</v>
      </c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4"/>
      <c r="CR29" s="204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>
        <v>650000</v>
      </c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</row>
    <row r="30" spans="1:144" s="24" customFormat="1" ht="15" customHeigh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9"/>
      <c r="AC30" s="226"/>
      <c r="AD30" s="227"/>
      <c r="AE30" s="227"/>
      <c r="AF30" s="227"/>
      <c r="AG30" s="227"/>
      <c r="AH30" s="227"/>
      <c r="AI30" s="227"/>
      <c r="AJ30" s="227"/>
      <c r="AK30" s="228"/>
      <c r="AL30" s="115" t="s">
        <v>309</v>
      </c>
      <c r="AM30" s="115" t="s">
        <v>124</v>
      </c>
      <c r="AN30" s="116"/>
      <c r="AO30" s="116"/>
      <c r="AP30" s="116"/>
      <c r="AQ30" s="116"/>
      <c r="AR30" s="116"/>
      <c r="AS30" s="116"/>
      <c r="AT30" s="116"/>
      <c r="AU30" s="204">
        <f>BK30+CA30+CS30+DI30+DY30</f>
        <v>650000</v>
      </c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5">
        <v>500000</v>
      </c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4"/>
      <c r="CR30" s="204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>
        <v>150000</v>
      </c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119"/>
      <c r="EM30" s="119"/>
      <c r="EN30" s="119"/>
    </row>
    <row r="31" spans="1:144" s="24" customFormat="1" ht="1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9"/>
      <c r="AC31" s="226"/>
      <c r="AD31" s="227"/>
      <c r="AE31" s="227"/>
      <c r="AF31" s="227"/>
      <c r="AG31" s="227"/>
      <c r="AH31" s="227"/>
      <c r="AI31" s="227"/>
      <c r="AJ31" s="227"/>
      <c r="AK31" s="228"/>
      <c r="AL31" s="115" t="s">
        <v>310</v>
      </c>
      <c r="AM31" s="115" t="s">
        <v>124</v>
      </c>
      <c r="AN31" s="116"/>
      <c r="AO31" s="116"/>
      <c r="AP31" s="116"/>
      <c r="AQ31" s="116"/>
      <c r="AR31" s="116"/>
      <c r="AS31" s="116"/>
      <c r="AT31" s="116"/>
      <c r="AU31" s="204">
        <f>BK31+CA31+CS31+DI31+DY31</f>
        <v>100000</v>
      </c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5">
        <v>0</v>
      </c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4"/>
      <c r="CR31" s="204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>
        <v>100000</v>
      </c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119"/>
      <c r="EM31" s="119"/>
      <c r="EN31" s="119"/>
    </row>
    <row r="32" spans="1:144" s="24" customFormat="1" ht="1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226"/>
      <c r="AD32" s="227"/>
      <c r="AE32" s="227"/>
      <c r="AF32" s="227"/>
      <c r="AG32" s="227"/>
      <c r="AH32" s="227"/>
      <c r="AI32" s="227"/>
      <c r="AJ32" s="227"/>
      <c r="AK32" s="228"/>
      <c r="AL32" s="115" t="s">
        <v>113</v>
      </c>
      <c r="AM32" s="115" t="s">
        <v>124</v>
      </c>
      <c r="AN32" s="116"/>
      <c r="AO32" s="116"/>
      <c r="AP32" s="116"/>
      <c r="AQ32" s="116"/>
      <c r="AR32" s="116"/>
      <c r="AS32" s="116"/>
      <c r="AT32" s="116"/>
      <c r="AU32" s="204">
        <f>BK32+CA32+CS32+DI32+DY32</f>
        <v>50000</v>
      </c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5">
        <v>0</v>
      </c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4"/>
      <c r="CR32" s="204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>
        <v>50000</v>
      </c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119"/>
      <c r="EM32" s="119"/>
      <c r="EN32" s="119"/>
    </row>
    <row r="33" spans="1:144" s="24" customFormat="1" ht="1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9"/>
      <c r="AC33" s="226"/>
      <c r="AD33" s="227"/>
      <c r="AE33" s="227"/>
      <c r="AF33" s="227"/>
      <c r="AG33" s="227"/>
      <c r="AH33" s="227"/>
      <c r="AI33" s="227"/>
      <c r="AJ33" s="227"/>
      <c r="AK33" s="228"/>
      <c r="AL33" s="115" t="s">
        <v>123</v>
      </c>
      <c r="AM33" s="115" t="s">
        <v>124</v>
      </c>
      <c r="AN33" s="116"/>
      <c r="AO33" s="116"/>
      <c r="AP33" s="116"/>
      <c r="AQ33" s="116"/>
      <c r="AR33" s="116"/>
      <c r="AS33" s="116"/>
      <c r="AT33" s="116"/>
      <c r="AU33" s="204">
        <f>BK33+CA33+CS33+DI33+DY33</f>
        <v>100000</v>
      </c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5">
        <v>0</v>
      </c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4"/>
      <c r="CR33" s="204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>
        <v>100000</v>
      </c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119"/>
      <c r="EM33" s="119"/>
      <c r="EN33" s="119"/>
    </row>
    <row r="34" spans="1:144" s="24" customFormat="1" ht="15" customHeight="1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9"/>
      <c r="AC34" s="229"/>
      <c r="AD34" s="230"/>
      <c r="AE34" s="230"/>
      <c r="AF34" s="230"/>
      <c r="AG34" s="230"/>
      <c r="AH34" s="230"/>
      <c r="AI34" s="230"/>
      <c r="AJ34" s="230"/>
      <c r="AK34" s="231"/>
      <c r="AL34" s="115" t="s">
        <v>311</v>
      </c>
      <c r="AM34" s="115" t="s">
        <v>124</v>
      </c>
      <c r="AN34" s="116"/>
      <c r="AO34" s="116"/>
      <c r="AP34" s="116"/>
      <c r="AQ34" s="116"/>
      <c r="AR34" s="116"/>
      <c r="AS34" s="116"/>
      <c r="AT34" s="116"/>
      <c r="AU34" s="204">
        <f>BK34+CA34+CS34+DI34+DY34</f>
        <v>50000</v>
      </c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5">
        <v>0</v>
      </c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4"/>
      <c r="CR34" s="204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>
        <v>50000</v>
      </c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119"/>
      <c r="EM34" s="119"/>
      <c r="EN34" s="119"/>
    </row>
    <row r="35" spans="1:144" s="24" customFormat="1" ht="37.5" customHeight="1">
      <c r="A35" s="114"/>
      <c r="B35" s="214" t="s">
        <v>127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3">
        <v>240</v>
      </c>
      <c r="AD35" s="213"/>
      <c r="AE35" s="213"/>
      <c r="AF35" s="213"/>
      <c r="AG35" s="213"/>
      <c r="AH35" s="213"/>
      <c r="AI35" s="120"/>
      <c r="AJ35" s="120"/>
      <c r="AK35" s="120"/>
      <c r="AL35" s="121"/>
      <c r="AM35" s="121"/>
      <c r="AN35" s="116"/>
      <c r="AO35" s="116"/>
      <c r="AP35" s="116"/>
      <c r="AQ35" s="116"/>
      <c r="AR35" s="116"/>
      <c r="AS35" s="116"/>
      <c r="AT35" s="116"/>
      <c r="AU35" s="204">
        <f t="shared" si="1"/>
        <v>0</v>
      </c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118"/>
      <c r="BG35" s="118"/>
      <c r="BH35" s="118"/>
      <c r="BI35" s="118"/>
      <c r="BJ35" s="118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118"/>
      <c r="CR35" s="118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</row>
    <row r="36" spans="1:144" s="24" customFormat="1" ht="44.25" customHeight="1">
      <c r="A36" s="114"/>
      <c r="B36" s="214" t="s">
        <v>126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3">
        <v>250</v>
      </c>
      <c r="AD36" s="213"/>
      <c r="AE36" s="213"/>
      <c r="AF36" s="213"/>
      <c r="AG36" s="213"/>
      <c r="AH36" s="213"/>
      <c r="AI36" s="120"/>
      <c r="AJ36" s="120"/>
      <c r="AK36" s="120"/>
      <c r="AL36" s="122"/>
      <c r="AM36" s="122"/>
      <c r="AN36" s="116"/>
      <c r="AO36" s="116"/>
      <c r="AP36" s="116"/>
      <c r="AQ36" s="116"/>
      <c r="AR36" s="116"/>
      <c r="AS36" s="116"/>
      <c r="AT36" s="116"/>
      <c r="AU36" s="204">
        <f t="shared" si="1"/>
        <v>0</v>
      </c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118"/>
      <c r="BG36" s="118"/>
      <c r="BH36" s="118"/>
      <c r="BI36" s="118"/>
      <c r="BJ36" s="118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118"/>
      <c r="CR36" s="118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</row>
    <row r="37" spans="1:144" s="5" customFormat="1" ht="24.75" customHeight="1">
      <c r="A37" s="114"/>
      <c r="B37" s="214" t="s">
        <v>65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3" t="s">
        <v>71</v>
      </c>
      <c r="AD37" s="213"/>
      <c r="AE37" s="213"/>
      <c r="AF37" s="213"/>
      <c r="AG37" s="213"/>
      <c r="AH37" s="213"/>
      <c r="AI37" s="213"/>
      <c r="AJ37" s="213"/>
      <c r="AK37" s="213"/>
      <c r="AL37" s="218" t="s">
        <v>64</v>
      </c>
      <c r="AM37" s="218"/>
      <c r="AN37" s="218"/>
      <c r="AO37" s="218"/>
      <c r="AP37" s="218"/>
      <c r="AQ37" s="218"/>
      <c r="AR37" s="218"/>
      <c r="AS37" s="218"/>
      <c r="AT37" s="218"/>
      <c r="AU37" s="204">
        <f t="shared" si="1"/>
        <v>119435173.32</v>
      </c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11">
        <f>SUM(BK39:BZ48)</f>
        <v>83635173.32</v>
      </c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04"/>
      <c r="CR37" s="204"/>
      <c r="CS37" s="211">
        <f>SUM(CS39:DH48)</f>
        <v>0</v>
      </c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>
        <f>SUM(DI39:DX48)</f>
        <v>35800000</v>
      </c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>
        <f>SUM(DY39:EN48)</f>
        <v>0</v>
      </c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</row>
    <row r="38" spans="1:144" s="5" customFormat="1" ht="15">
      <c r="A38" s="114"/>
      <c r="B38" s="206" t="s">
        <v>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 t="s">
        <v>15</v>
      </c>
      <c r="AM38" s="213"/>
      <c r="AN38" s="213"/>
      <c r="AO38" s="213"/>
      <c r="AP38" s="213"/>
      <c r="AQ38" s="213"/>
      <c r="AR38" s="213"/>
      <c r="AS38" s="213"/>
      <c r="AT38" s="213"/>
      <c r="AU38" s="212" t="s">
        <v>15</v>
      </c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05" t="s">
        <v>15</v>
      </c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12" t="s">
        <v>15</v>
      </c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05" t="s">
        <v>15</v>
      </c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 t="s">
        <v>15</v>
      </c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 t="s">
        <v>15</v>
      </c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</row>
    <row r="39" spans="1:144" s="5" customFormat="1" ht="15">
      <c r="A39" s="114"/>
      <c r="B39" s="206" t="s">
        <v>66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13"/>
      <c r="AD39" s="213"/>
      <c r="AE39" s="213"/>
      <c r="AF39" s="213"/>
      <c r="AG39" s="213"/>
      <c r="AH39" s="213"/>
      <c r="AI39" s="213"/>
      <c r="AJ39" s="213"/>
      <c r="AK39" s="213"/>
      <c r="AL39" s="115" t="s">
        <v>187</v>
      </c>
      <c r="AM39" s="115" t="s">
        <v>117</v>
      </c>
      <c r="AN39" s="116"/>
      <c r="AO39" s="116"/>
      <c r="AP39" s="116"/>
      <c r="AQ39" s="116"/>
      <c r="AR39" s="116"/>
      <c r="AS39" s="116"/>
      <c r="AT39" s="116"/>
      <c r="AU39" s="204">
        <f>BK39+CA39+CS39+DI39+DY39</f>
        <v>2900000</v>
      </c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5">
        <v>2100000</v>
      </c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4"/>
      <c r="CR39" s="204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>
        <v>800000</v>
      </c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</row>
    <row r="40" spans="1:144" s="5" customFormat="1" ht="15">
      <c r="A40" s="114"/>
      <c r="B40" s="206" t="s">
        <v>67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13"/>
      <c r="AD40" s="213"/>
      <c r="AE40" s="213"/>
      <c r="AF40" s="213"/>
      <c r="AG40" s="213"/>
      <c r="AH40" s="213"/>
      <c r="AI40" s="213"/>
      <c r="AJ40" s="213"/>
      <c r="AK40" s="213"/>
      <c r="AL40" s="115" t="s">
        <v>113</v>
      </c>
      <c r="AM40" s="115" t="s">
        <v>114</v>
      </c>
      <c r="AN40" s="116"/>
      <c r="AO40" s="116"/>
      <c r="AP40" s="116"/>
      <c r="AQ40" s="116"/>
      <c r="AR40" s="116"/>
      <c r="AS40" s="116"/>
      <c r="AT40" s="116"/>
      <c r="AU40" s="204">
        <f>BK40+CA40+CS40+DI40+DY40</f>
        <v>300000</v>
      </c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5">
        <v>100000</v>
      </c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4"/>
      <c r="CR40" s="204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>
        <v>200000</v>
      </c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</row>
    <row r="41" spans="1:144" s="5" customFormat="1" ht="15">
      <c r="A41" s="114"/>
      <c r="B41" s="206" t="s">
        <v>68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13"/>
      <c r="AD41" s="213"/>
      <c r="AE41" s="213"/>
      <c r="AF41" s="213"/>
      <c r="AG41" s="213"/>
      <c r="AH41" s="213"/>
      <c r="AI41" s="213"/>
      <c r="AJ41" s="213"/>
      <c r="AK41" s="213"/>
      <c r="AL41" s="115" t="s">
        <v>113</v>
      </c>
      <c r="AM41" s="115" t="s">
        <v>118</v>
      </c>
      <c r="AN41" s="116"/>
      <c r="AO41" s="116"/>
      <c r="AP41" s="116"/>
      <c r="AQ41" s="116"/>
      <c r="AR41" s="116"/>
      <c r="AS41" s="116"/>
      <c r="AT41" s="116"/>
      <c r="AU41" s="204">
        <f>BK41+CA41+CS41+DI41+DY41</f>
        <v>21927173.32</v>
      </c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5">
        <f>15127172.06+1.26</f>
        <v>15127173.32</v>
      </c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4"/>
      <c r="CR41" s="204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>
        <v>6800000</v>
      </c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</row>
    <row r="42" spans="1:144" s="5" customFormat="1" ht="15">
      <c r="A42" s="114"/>
      <c r="B42" s="206" t="s">
        <v>116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13"/>
      <c r="AD42" s="213"/>
      <c r="AE42" s="213"/>
      <c r="AF42" s="213"/>
      <c r="AG42" s="213"/>
      <c r="AH42" s="213"/>
      <c r="AI42" s="213"/>
      <c r="AJ42" s="213"/>
      <c r="AK42" s="213"/>
      <c r="AL42" s="115" t="s">
        <v>113</v>
      </c>
      <c r="AM42" s="115" t="s">
        <v>119</v>
      </c>
      <c r="AN42" s="116"/>
      <c r="AO42" s="116"/>
      <c r="AP42" s="116"/>
      <c r="AQ42" s="116"/>
      <c r="AR42" s="116"/>
      <c r="AS42" s="116"/>
      <c r="AT42" s="116"/>
      <c r="AU42" s="204">
        <f>BK42+CA42+CS42+DI42+DY42</f>
        <v>1000000</v>
      </c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118"/>
      <c r="BG42" s="118"/>
      <c r="BH42" s="118"/>
      <c r="BI42" s="118"/>
      <c r="BJ42" s="118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119"/>
      <c r="BZ42" s="119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118"/>
      <c r="CR42" s="118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119"/>
      <c r="DH42" s="119"/>
      <c r="DI42" s="205">
        <v>1000000</v>
      </c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119"/>
      <c r="DW42" s="119"/>
      <c r="DX42" s="119"/>
      <c r="DY42" s="205"/>
      <c r="DZ42" s="205"/>
      <c r="EA42" s="205"/>
      <c r="EB42" s="205"/>
      <c r="EC42" s="205"/>
      <c r="ED42" s="205"/>
      <c r="EE42" s="205"/>
      <c r="EF42" s="205"/>
      <c r="EG42" s="205"/>
      <c r="EH42" s="205"/>
      <c r="EI42" s="205"/>
      <c r="EJ42" s="205"/>
      <c r="EK42" s="205"/>
      <c r="EL42" s="119"/>
      <c r="EM42" s="119"/>
      <c r="EN42" s="119"/>
    </row>
    <row r="43" spans="1:144" s="5" customFormat="1" ht="30" customHeight="1">
      <c r="A43" s="114"/>
      <c r="B43" s="206" t="s">
        <v>69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13"/>
      <c r="AD43" s="213"/>
      <c r="AE43" s="213"/>
      <c r="AF43" s="213"/>
      <c r="AG43" s="213"/>
      <c r="AH43" s="213"/>
      <c r="AI43" s="213"/>
      <c r="AJ43" s="213"/>
      <c r="AK43" s="213"/>
      <c r="AL43" s="115" t="s">
        <v>115</v>
      </c>
      <c r="AM43" s="115" t="s">
        <v>120</v>
      </c>
      <c r="AN43" s="116"/>
      <c r="AO43" s="116"/>
      <c r="AP43" s="116"/>
      <c r="AQ43" s="116"/>
      <c r="AR43" s="116"/>
      <c r="AS43" s="116"/>
      <c r="AT43" s="116"/>
      <c r="AU43" s="204">
        <f aca="true" t="shared" si="2" ref="AU43:AU49">BK43+CA43+CS43+DI43+DY43</f>
        <v>0</v>
      </c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4"/>
      <c r="CR43" s="204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</row>
    <row r="44" spans="1:144" s="5" customFormat="1" ht="30" customHeight="1">
      <c r="A44" s="114"/>
      <c r="B44" s="206" t="s">
        <v>69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13"/>
      <c r="AD44" s="213"/>
      <c r="AE44" s="213"/>
      <c r="AF44" s="213"/>
      <c r="AG44" s="213"/>
      <c r="AH44" s="213"/>
      <c r="AI44" s="213"/>
      <c r="AJ44" s="213"/>
      <c r="AK44" s="213"/>
      <c r="AL44" s="115" t="s">
        <v>113</v>
      </c>
      <c r="AM44" s="115" t="s">
        <v>120</v>
      </c>
      <c r="AN44" s="116"/>
      <c r="AO44" s="116"/>
      <c r="AP44" s="116"/>
      <c r="AQ44" s="116"/>
      <c r="AR44" s="116"/>
      <c r="AS44" s="116"/>
      <c r="AT44" s="116"/>
      <c r="AU44" s="204">
        <f t="shared" si="2"/>
        <v>26700000</v>
      </c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5">
        <v>21390000</v>
      </c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4"/>
      <c r="CR44" s="204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>
        <v>5310000</v>
      </c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205"/>
      <c r="EL44" s="205"/>
      <c r="EM44" s="205"/>
      <c r="EN44" s="205"/>
    </row>
    <row r="45" spans="1:144" s="5" customFormat="1" ht="15" customHeight="1">
      <c r="A45" s="114"/>
      <c r="B45" s="206" t="s">
        <v>70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13"/>
      <c r="AD45" s="213"/>
      <c r="AE45" s="213"/>
      <c r="AF45" s="213"/>
      <c r="AG45" s="213"/>
      <c r="AH45" s="213"/>
      <c r="AI45" s="213"/>
      <c r="AJ45" s="213"/>
      <c r="AK45" s="213"/>
      <c r="AL45" s="115" t="s">
        <v>113</v>
      </c>
      <c r="AM45" s="115" t="s">
        <v>121</v>
      </c>
      <c r="AN45" s="116"/>
      <c r="AO45" s="116"/>
      <c r="AP45" s="116"/>
      <c r="AQ45" s="116"/>
      <c r="AR45" s="116"/>
      <c r="AS45" s="116"/>
      <c r="AT45" s="116"/>
      <c r="AU45" s="204">
        <f t="shared" si="2"/>
        <v>53730000</v>
      </c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5">
        <v>34210000</v>
      </c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>
        <v>2160000</v>
      </c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4"/>
      <c r="CR45" s="204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>
        <v>17360000</v>
      </c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205"/>
      <c r="EL45" s="205"/>
      <c r="EM45" s="205"/>
      <c r="EN45" s="205"/>
    </row>
    <row r="46" spans="1:144" s="5" customFormat="1" ht="15" customHeight="1">
      <c r="A46" s="114"/>
      <c r="B46" s="206" t="s">
        <v>308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13"/>
      <c r="AD46" s="213"/>
      <c r="AE46" s="213"/>
      <c r="AF46" s="213"/>
      <c r="AG46" s="213"/>
      <c r="AH46" s="213"/>
      <c r="AI46" s="213"/>
      <c r="AJ46" s="213"/>
      <c r="AK46" s="213"/>
      <c r="AL46" s="115" t="s">
        <v>113</v>
      </c>
      <c r="AM46" s="115" t="s">
        <v>124</v>
      </c>
      <c r="AN46" s="116"/>
      <c r="AO46" s="116"/>
      <c r="AP46" s="116"/>
      <c r="AQ46" s="116"/>
      <c r="AR46" s="116"/>
      <c r="AS46" s="116"/>
      <c r="AT46" s="116"/>
      <c r="AU46" s="204">
        <f t="shared" si="2"/>
        <v>0</v>
      </c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4"/>
      <c r="CR46" s="204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</row>
    <row r="47" spans="1:144" s="5" customFormat="1" ht="25.5" customHeight="1">
      <c r="A47" s="114"/>
      <c r="B47" s="206" t="s">
        <v>72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13"/>
      <c r="AD47" s="213"/>
      <c r="AE47" s="213"/>
      <c r="AF47" s="213"/>
      <c r="AG47" s="213"/>
      <c r="AH47" s="213"/>
      <c r="AI47" s="213"/>
      <c r="AJ47" s="213"/>
      <c r="AK47" s="213"/>
      <c r="AL47" s="115" t="s">
        <v>113</v>
      </c>
      <c r="AM47" s="115" t="s">
        <v>122</v>
      </c>
      <c r="AN47" s="116"/>
      <c r="AO47" s="116"/>
      <c r="AP47" s="116"/>
      <c r="AQ47" s="116"/>
      <c r="AR47" s="116"/>
      <c r="AS47" s="116"/>
      <c r="AT47" s="116"/>
      <c r="AU47" s="204">
        <f t="shared" si="2"/>
        <v>2000000</v>
      </c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5">
        <v>1000000</v>
      </c>
      <c r="BL47" s="205"/>
      <c r="BM47" s="205"/>
      <c r="BN47" s="205"/>
      <c r="BO47" s="205"/>
      <c r="BP47" s="205"/>
      <c r="BQ47" s="205"/>
      <c r="BR47" s="205"/>
      <c r="BS47" s="205"/>
      <c r="BT47" s="205"/>
      <c r="BU47" s="205"/>
      <c r="BV47" s="205"/>
      <c r="BW47" s="205"/>
      <c r="BX47" s="205"/>
      <c r="BY47" s="205"/>
      <c r="BZ47" s="205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04"/>
      <c r="CR47" s="204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>
        <v>1000000</v>
      </c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205"/>
      <c r="DX47" s="205"/>
      <c r="DY47" s="205"/>
      <c r="DZ47" s="205"/>
      <c r="EA47" s="205"/>
      <c r="EB47" s="205"/>
      <c r="EC47" s="205"/>
      <c r="ED47" s="205"/>
      <c r="EE47" s="205"/>
      <c r="EF47" s="205"/>
      <c r="EG47" s="205"/>
      <c r="EH47" s="205"/>
      <c r="EI47" s="205"/>
      <c r="EJ47" s="205"/>
      <c r="EK47" s="205"/>
      <c r="EL47" s="205"/>
      <c r="EM47" s="205"/>
      <c r="EN47" s="205"/>
    </row>
    <row r="48" spans="1:144" s="5" customFormat="1" ht="27" customHeight="1">
      <c r="A48" s="114"/>
      <c r="B48" s="206" t="s">
        <v>73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13"/>
      <c r="AD48" s="213"/>
      <c r="AE48" s="213"/>
      <c r="AF48" s="213"/>
      <c r="AG48" s="213"/>
      <c r="AH48" s="213"/>
      <c r="AI48" s="213"/>
      <c r="AJ48" s="213"/>
      <c r="AK48" s="213"/>
      <c r="AL48" s="115" t="s">
        <v>113</v>
      </c>
      <c r="AM48" s="115" t="s">
        <v>123</v>
      </c>
      <c r="AN48" s="116"/>
      <c r="AO48" s="116"/>
      <c r="AP48" s="116"/>
      <c r="AQ48" s="116"/>
      <c r="AR48" s="116"/>
      <c r="AS48" s="116"/>
      <c r="AT48" s="116"/>
      <c r="AU48" s="204">
        <f t="shared" si="2"/>
        <v>13038000</v>
      </c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5">
        <v>9708000</v>
      </c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04"/>
      <c r="CR48" s="204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>
        <v>3330000</v>
      </c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</row>
    <row r="49" spans="1:144" s="5" customFormat="1" ht="27" customHeight="1">
      <c r="A49" s="114"/>
      <c r="B49" s="206" t="s">
        <v>210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13">
        <v>300</v>
      </c>
      <c r="AD49" s="213"/>
      <c r="AE49" s="213"/>
      <c r="AF49" s="213"/>
      <c r="AG49" s="213"/>
      <c r="AH49" s="213"/>
      <c r="AI49" s="117"/>
      <c r="AJ49" s="117"/>
      <c r="AK49" s="117"/>
      <c r="AL49" s="115" t="s">
        <v>216</v>
      </c>
      <c r="AM49" s="115" t="s">
        <v>216</v>
      </c>
      <c r="AN49" s="116"/>
      <c r="AO49" s="116"/>
      <c r="AP49" s="116"/>
      <c r="AQ49" s="116"/>
      <c r="AR49" s="116"/>
      <c r="AS49" s="116"/>
      <c r="AT49" s="116"/>
      <c r="AU49" s="204">
        <f t="shared" si="2"/>
        <v>631000870</v>
      </c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11">
        <f>BK51</f>
        <v>441000870</v>
      </c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04">
        <f>SUM(CA51:CP52)</f>
        <v>0</v>
      </c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>
        <f>SUM(CS51:DH52)</f>
        <v>0</v>
      </c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>
        <v>190000000</v>
      </c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>
        <f>SUM(DY51:EN52)</f>
        <v>0</v>
      </c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</row>
    <row r="50" spans="1:144" s="5" customFormat="1" ht="15">
      <c r="A50" s="114"/>
      <c r="B50" s="206" t="s">
        <v>1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13"/>
      <c r="AD50" s="213"/>
      <c r="AE50" s="213"/>
      <c r="AF50" s="213"/>
      <c r="AG50" s="213"/>
      <c r="AH50" s="213"/>
      <c r="AI50" s="117"/>
      <c r="AJ50" s="117"/>
      <c r="AK50" s="117"/>
      <c r="AL50" s="213" t="s">
        <v>15</v>
      </c>
      <c r="AM50" s="213"/>
      <c r="AN50" s="213"/>
      <c r="AO50" s="213"/>
      <c r="AP50" s="213"/>
      <c r="AQ50" s="213"/>
      <c r="AR50" s="213"/>
      <c r="AS50" s="213"/>
      <c r="AT50" s="213"/>
      <c r="AU50" s="212" t="s">
        <v>15</v>
      </c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05" t="s">
        <v>15</v>
      </c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12" t="s">
        <v>15</v>
      </c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05" t="s">
        <v>15</v>
      </c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 t="s">
        <v>15</v>
      </c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 t="s">
        <v>15</v>
      </c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</row>
    <row r="51" spans="1:144" s="5" customFormat="1" ht="27" customHeight="1">
      <c r="A51" s="114"/>
      <c r="B51" s="206" t="s">
        <v>211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13"/>
      <c r="AD51" s="213"/>
      <c r="AE51" s="213"/>
      <c r="AF51" s="213"/>
      <c r="AG51" s="213"/>
      <c r="AH51" s="213"/>
      <c r="AI51" s="117"/>
      <c r="AJ51" s="117"/>
      <c r="AK51" s="117"/>
      <c r="AL51" s="115" t="s">
        <v>216</v>
      </c>
      <c r="AM51" s="115" t="s">
        <v>216</v>
      </c>
      <c r="AN51" s="116"/>
      <c r="AO51" s="116"/>
      <c r="AP51" s="116"/>
      <c r="AQ51" s="116"/>
      <c r="AR51" s="116"/>
      <c r="AS51" s="116"/>
      <c r="AT51" s="116"/>
      <c r="AU51" s="204">
        <f>BK51+CA51+CS51+DI51+DY51</f>
        <v>631000870</v>
      </c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5">
        <v>441000870</v>
      </c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04"/>
      <c r="CR51" s="204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>
        <v>190000000</v>
      </c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</row>
    <row r="52" spans="1:144" s="5" customFormat="1" ht="27" customHeight="1">
      <c r="A52" s="114"/>
      <c r="B52" s="206" t="s">
        <v>212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13"/>
      <c r="AD52" s="213"/>
      <c r="AE52" s="213"/>
      <c r="AF52" s="213"/>
      <c r="AG52" s="213"/>
      <c r="AH52" s="213"/>
      <c r="AI52" s="117"/>
      <c r="AJ52" s="117"/>
      <c r="AK52" s="117"/>
      <c r="AL52" s="115" t="s">
        <v>216</v>
      </c>
      <c r="AM52" s="115" t="s">
        <v>216</v>
      </c>
      <c r="AN52" s="116"/>
      <c r="AO52" s="116"/>
      <c r="AP52" s="116"/>
      <c r="AQ52" s="116"/>
      <c r="AR52" s="116"/>
      <c r="AS52" s="116"/>
      <c r="AT52" s="116"/>
      <c r="AU52" s="204">
        <f>BK52+CA52+CS52+DI52+DY52</f>
        <v>0</v>
      </c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04"/>
      <c r="CR52" s="204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5"/>
      <c r="EM52" s="205"/>
      <c r="EN52" s="205"/>
    </row>
    <row r="53" spans="1:144" s="5" customFormat="1" ht="27" customHeight="1">
      <c r="A53" s="114"/>
      <c r="B53" s="206" t="s">
        <v>213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13">
        <v>400</v>
      </c>
      <c r="AD53" s="213"/>
      <c r="AE53" s="213"/>
      <c r="AF53" s="213"/>
      <c r="AG53" s="213"/>
      <c r="AH53" s="213"/>
      <c r="AI53" s="117"/>
      <c r="AJ53" s="117"/>
      <c r="AK53" s="117"/>
      <c r="AL53" s="115" t="s">
        <v>216</v>
      </c>
      <c r="AM53" s="115" t="s">
        <v>216</v>
      </c>
      <c r="AN53" s="116"/>
      <c r="AO53" s="116"/>
      <c r="AP53" s="116"/>
      <c r="AQ53" s="116"/>
      <c r="AR53" s="116"/>
      <c r="AS53" s="116"/>
      <c r="AT53" s="116"/>
      <c r="AU53" s="204">
        <f>BK53+CA53+CS53+DI53+DY53</f>
        <v>0</v>
      </c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11">
        <f>SUM(BK55:BZ56)</f>
        <v>0</v>
      </c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04">
        <f>SUM(CA55:CP56)</f>
        <v>0</v>
      </c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>
        <f>SUM(CS55:DH56)</f>
        <v>0</v>
      </c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>
        <f>SUM(DI55:DX56)</f>
        <v>0</v>
      </c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>
        <f>SUM(DY55:EN56)</f>
        <v>0</v>
      </c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</row>
    <row r="54" spans="1:144" s="5" customFormat="1" ht="15">
      <c r="A54" s="114"/>
      <c r="B54" s="206" t="s">
        <v>1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13"/>
      <c r="AD54" s="213"/>
      <c r="AE54" s="213"/>
      <c r="AF54" s="213"/>
      <c r="AG54" s="213"/>
      <c r="AH54" s="213"/>
      <c r="AI54" s="117"/>
      <c r="AJ54" s="117"/>
      <c r="AK54" s="117"/>
      <c r="AL54" s="213" t="s">
        <v>15</v>
      </c>
      <c r="AM54" s="213"/>
      <c r="AN54" s="213"/>
      <c r="AO54" s="213"/>
      <c r="AP54" s="213"/>
      <c r="AQ54" s="213"/>
      <c r="AR54" s="213"/>
      <c r="AS54" s="213"/>
      <c r="AT54" s="213"/>
      <c r="AU54" s="212" t="s">
        <v>15</v>
      </c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05" t="s">
        <v>15</v>
      </c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12" t="s">
        <v>15</v>
      </c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05" t="s">
        <v>15</v>
      </c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 t="s">
        <v>15</v>
      </c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 t="s">
        <v>15</v>
      </c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5"/>
      <c r="EM54" s="205"/>
      <c r="EN54" s="205"/>
    </row>
    <row r="55" spans="1:144" s="5" customFormat="1" ht="27" customHeight="1">
      <c r="A55" s="114"/>
      <c r="B55" s="206" t="s">
        <v>214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13"/>
      <c r="AD55" s="213"/>
      <c r="AE55" s="213"/>
      <c r="AF55" s="213"/>
      <c r="AG55" s="213"/>
      <c r="AH55" s="213"/>
      <c r="AI55" s="117"/>
      <c r="AJ55" s="117"/>
      <c r="AK55" s="117"/>
      <c r="AL55" s="115" t="s">
        <v>216</v>
      </c>
      <c r="AM55" s="115" t="s">
        <v>216</v>
      </c>
      <c r="AN55" s="116"/>
      <c r="AO55" s="116"/>
      <c r="AP55" s="116"/>
      <c r="AQ55" s="116"/>
      <c r="AR55" s="116"/>
      <c r="AS55" s="116"/>
      <c r="AT55" s="116"/>
      <c r="AU55" s="204">
        <f>BK55+CA55+CS55+DI55+DY55</f>
        <v>0</v>
      </c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04"/>
      <c r="CR55" s="204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5"/>
      <c r="EM55" s="205"/>
      <c r="EN55" s="205"/>
    </row>
    <row r="56" spans="1:144" s="5" customFormat="1" ht="27" customHeight="1">
      <c r="A56" s="114"/>
      <c r="B56" s="206" t="s">
        <v>215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13"/>
      <c r="AD56" s="213"/>
      <c r="AE56" s="213"/>
      <c r="AF56" s="213"/>
      <c r="AG56" s="213"/>
      <c r="AH56" s="213"/>
      <c r="AI56" s="117"/>
      <c r="AJ56" s="117"/>
      <c r="AK56" s="117"/>
      <c r="AL56" s="115" t="s">
        <v>216</v>
      </c>
      <c r="AM56" s="115" t="s">
        <v>216</v>
      </c>
      <c r="AN56" s="116"/>
      <c r="AO56" s="116"/>
      <c r="AP56" s="116"/>
      <c r="AQ56" s="116"/>
      <c r="AR56" s="116"/>
      <c r="AS56" s="116"/>
      <c r="AT56" s="116"/>
      <c r="AU56" s="204">
        <f>BK56+CA56+CS56+DI56+DY56</f>
        <v>0</v>
      </c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04"/>
      <c r="CR56" s="204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5"/>
      <c r="EM56" s="205"/>
      <c r="EN56" s="205"/>
    </row>
    <row r="57" spans="1:144" s="24" customFormat="1" ht="27" customHeight="1">
      <c r="A57" s="114"/>
      <c r="B57" s="214" t="s">
        <v>76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3" t="s">
        <v>74</v>
      </c>
      <c r="AD57" s="213"/>
      <c r="AE57" s="213"/>
      <c r="AF57" s="213"/>
      <c r="AG57" s="213"/>
      <c r="AH57" s="213"/>
      <c r="AI57" s="213"/>
      <c r="AJ57" s="213"/>
      <c r="AK57" s="213"/>
      <c r="AL57" s="213"/>
      <c r="AM57" s="213" t="s">
        <v>15</v>
      </c>
      <c r="AN57" s="213"/>
      <c r="AO57" s="213"/>
      <c r="AP57" s="213"/>
      <c r="AQ57" s="213"/>
      <c r="AR57" s="213"/>
      <c r="AS57" s="213"/>
      <c r="AT57" s="213"/>
      <c r="AU57" s="204">
        <f>BK57+CA57+CS57+DI57+DY57</f>
        <v>52035423.9</v>
      </c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11">
        <v>3756303.32</v>
      </c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11">
        <v>0</v>
      </c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>
        <v>48279120.58</v>
      </c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>
        <v>0</v>
      </c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</row>
    <row r="58" spans="1:144" s="24" customFormat="1" ht="28.5" customHeight="1">
      <c r="A58" s="114"/>
      <c r="B58" s="214" t="s">
        <v>77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3" t="s">
        <v>75</v>
      </c>
      <c r="AD58" s="213"/>
      <c r="AE58" s="213"/>
      <c r="AF58" s="213"/>
      <c r="AG58" s="213"/>
      <c r="AH58" s="213"/>
      <c r="AI58" s="213"/>
      <c r="AJ58" s="213"/>
      <c r="AK58" s="213"/>
      <c r="AL58" s="213"/>
      <c r="AM58" s="213" t="s">
        <v>15</v>
      </c>
      <c r="AN58" s="213"/>
      <c r="AO58" s="213"/>
      <c r="AP58" s="213"/>
      <c r="AQ58" s="213"/>
      <c r="AR58" s="213"/>
      <c r="AS58" s="213"/>
      <c r="AT58" s="213"/>
      <c r="AU58" s="204">
        <f>BK58+CA58+CS58+DI58+DY58</f>
        <v>23279120.58</v>
      </c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11">
        <f>BK51+BK57-BK16</f>
        <v>0</v>
      </c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11">
        <v>0</v>
      </c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>
        <f>DI51+DI57-DI16</f>
        <v>23279120.58</v>
      </c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>
        <v>0</v>
      </c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</row>
    <row r="61" spans="48:91" ht="20.25"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</row>
  </sheetData>
  <sheetProtection formatCells="0" formatColumns="0" formatRows="0" insertColumns="0" insertRows="0" insertHyperlinks="0" deleteColumns="0" deleteRows="0" sort="0" autoFilter="0" pivotTables="0"/>
  <mergeCells count="447">
    <mergeCell ref="CQ58:CR58"/>
    <mergeCell ref="CS58:DH58"/>
    <mergeCell ref="DI58:DX58"/>
    <mergeCell ref="DY58:EN58"/>
    <mergeCell ref="CQ57:CR57"/>
    <mergeCell ref="CS57:DH57"/>
    <mergeCell ref="DI57:DX57"/>
    <mergeCell ref="DY57:EN57"/>
    <mergeCell ref="B58:AB58"/>
    <mergeCell ref="AC58:AL58"/>
    <mergeCell ref="AM58:AT58"/>
    <mergeCell ref="AU58:BJ58"/>
    <mergeCell ref="BK58:BZ58"/>
    <mergeCell ref="CA58:CP58"/>
    <mergeCell ref="B57:AB57"/>
    <mergeCell ref="AC57:AL57"/>
    <mergeCell ref="AM57:AT57"/>
    <mergeCell ref="AU57:BJ57"/>
    <mergeCell ref="BK57:BZ57"/>
    <mergeCell ref="CA57:CP57"/>
    <mergeCell ref="DY55:EN55"/>
    <mergeCell ref="B56:AB56"/>
    <mergeCell ref="AU56:BJ56"/>
    <mergeCell ref="BK56:BZ56"/>
    <mergeCell ref="CA56:CP56"/>
    <mergeCell ref="CQ56:CR56"/>
    <mergeCell ref="CS56:DH56"/>
    <mergeCell ref="DI56:DX56"/>
    <mergeCell ref="DY56:EN56"/>
    <mergeCell ref="CS54:DH54"/>
    <mergeCell ref="DI54:DX54"/>
    <mergeCell ref="DY54:EN54"/>
    <mergeCell ref="B55:AB55"/>
    <mergeCell ref="AU55:BJ55"/>
    <mergeCell ref="BK55:BZ55"/>
    <mergeCell ref="CA55:CP55"/>
    <mergeCell ref="CQ55:CR55"/>
    <mergeCell ref="CS55:DH55"/>
    <mergeCell ref="DI55:DX55"/>
    <mergeCell ref="DY42:EK42"/>
    <mergeCell ref="AC49:AH52"/>
    <mergeCell ref="AL50:AT50"/>
    <mergeCell ref="AC53:AH56"/>
    <mergeCell ref="B54:AB54"/>
    <mergeCell ref="AL54:AT54"/>
    <mergeCell ref="AU54:BJ54"/>
    <mergeCell ref="BK54:BZ54"/>
    <mergeCell ref="CA54:CP54"/>
    <mergeCell ref="CQ54:CR54"/>
    <mergeCell ref="BK37:BZ37"/>
    <mergeCell ref="CQ37:CR37"/>
    <mergeCell ref="CS37:DH37"/>
    <mergeCell ref="DI37:DX37"/>
    <mergeCell ref="DY37:EN37"/>
    <mergeCell ref="AL38:AT38"/>
    <mergeCell ref="CA37:CP37"/>
    <mergeCell ref="AC36:AH36"/>
    <mergeCell ref="AU36:BE36"/>
    <mergeCell ref="AC37:AK48"/>
    <mergeCell ref="AL37:AT37"/>
    <mergeCell ref="AU37:BJ37"/>
    <mergeCell ref="AU42:BE42"/>
    <mergeCell ref="AU43:BJ43"/>
    <mergeCell ref="DY32:EK32"/>
    <mergeCell ref="A33:AB33"/>
    <mergeCell ref="DY33:EK33"/>
    <mergeCell ref="A34:AB34"/>
    <mergeCell ref="DY34:EK34"/>
    <mergeCell ref="DI33:DX33"/>
    <mergeCell ref="CS34:DH34"/>
    <mergeCell ref="DI34:DX34"/>
    <mergeCell ref="DI32:DX32"/>
    <mergeCell ref="CQ30:CR30"/>
    <mergeCell ref="DY30:EK30"/>
    <mergeCell ref="A31:AB31"/>
    <mergeCell ref="AU31:BJ31"/>
    <mergeCell ref="CQ31:CR31"/>
    <mergeCell ref="DY31:EK31"/>
    <mergeCell ref="CS30:DH30"/>
    <mergeCell ref="DI30:DX30"/>
    <mergeCell ref="AU30:BJ30"/>
    <mergeCell ref="DI31:DX31"/>
    <mergeCell ref="A1:EN1"/>
    <mergeCell ref="BE2:BJ2"/>
    <mergeCell ref="BK2:BN2"/>
    <mergeCell ref="BO2:BQ2"/>
    <mergeCell ref="BR2:CI2"/>
    <mergeCell ref="CJ2:CM2"/>
    <mergeCell ref="CN2:CQ2"/>
    <mergeCell ref="CR2:CU2"/>
    <mergeCell ref="A4:AB7"/>
    <mergeCell ref="AC4:AK7"/>
    <mergeCell ref="AL4:AT7"/>
    <mergeCell ref="AU4:EN4"/>
    <mergeCell ref="AU5:BJ7"/>
    <mergeCell ref="BK5:EN5"/>
    <mergeCell ref="BK6:BZ7"/>
    <mergeCell ref="CA6:CR7"/>
    <mergeCell ref="CS6:DH7"/>
    <mergeCell ref="DI6:EN6"/>
    <mergeCell ref="DI7:DX7"/>
    <mergeCell ref="DY7:EN7"/>
    <mergeCell ref="A8:AB8"/>
    <mergeCell ref="AC8:AK8"/>
    <mergeCell ref="AL8:AT8"/>
    <mergeCell ref="AU8:BJ8"/>
    <mergeCell ref="BK8:BZ8"/>
    <mergeCell ref="CA8:CR8"/>
    <mergeCell ref="CS8:DH8"/>
    <mergeCell ref="DI8:DX8"/>
    <mergeCell ref="DY8:EN8"/>
    <mergeCell ref="B9:AB9"/>
    <mergeCell ref="AC9:AK9"/>
    <mergeCell ref="AL9:AT9"/>
    <mergeCell ref="AU9:BJ9"/>
    <mergeCell ref="BK9:BZ9"/>
    <mergeCell ref="CA9:CR9"/>
    <mergeCell ref="CS9:DH9"/>
    <mergeCell ref="DI9:DX9"/>
    <mergeCell ref="DY9:EN9"/>
    <mergeCell ref="BK10:BZ10"/>
    <mergeCell ref="CA10:CR10"/>
    <mergeCell ref="CS10:DH10"/>
    <mergeCell ref="DI10:DX10"/>
    <mergeCell ref="B10:AB10"/>
    <mergeCell ref="AC10:AK10"/>
    <mergeCell ref="AL10:AT10"/>
    <mergeCell ref="AU10:BJ10"/>
    <mergeCell ref="DY10:EN10"/>
    <mergeCell ref="B11:AB11"/>
    <mergeCell ref="AC11:AK11"/>
    <mergeCell ref="AL11:AT11"/>
    <mergeCell ref="AU11:BJ11"/>
    <mergeCell ref="BK11:BZ11"/>
    <mergeCell ref="CA11:CR11"/>
    <mergeCell ref="CS11:DH11"/>
    <mergeCell ref="DI11:DX11"/>
    <mergeCell ref="DY11:EN11"/>
    <mergeCell ref="BK12:BZ12"/>
    <mergeCell ref="CA12:CR12"/>
    <mergeCell ref="CS12:DH12"/>
    <mergeCell ref="DI12:DX12"/>
    <mergeCell ref="B12:AB12"/>
    <mergeCell ref="AC12:AK12"/>
    <mergeCell ref="AL12:AT12"/>
    <mergeCell ref="AU12:BJ12"/>
    <mergeCell ref="DY12:EN12"/>
    <mergeCell ref="B13:AB13"/>
    <mergeCell ref="AC13:AK13"/>
    <mergeCell ref="AL13:AT13"/>
    <mergeCell ref="AU13:BJ13"/>
    <mergeCell ref="BK13:BZ13"/>
    <mergeCell ref="CA13:CR13"/>
    <mergeCell ref="CS13:DH13"/>
    <mergeCell ref="DI13:DX13"/>
    <mergeCell ref="DY13:EN13"/>
    <mergeCell ref="BK14:BZ14"/>
    <mergeCell ref="CA14:CR14"/>
    <mergeCell ref="CS14:DH14"/>
    <mergeCell ref="DI14:DX14"/>
    <mergeCell ref="B14:AB14"/>
    <mergeCell ref="AC14:AK14"/>
    <mergeCell ref="AL14:AT14"/>
    <mergeCell ref="AU14:BJ14"/>
    <mergeCell ref="DY14:EN14"/>
    <mergeCell ref="B15:EN15"/>
    <mergeCell ref="B16:AB16"/>
    <mergeCell ref="AC16:AK16"/>
    <mergeCell ref="AL16:AT16"/>
    <mergeCell ref="AU16:BJ16"/>
    <mergeCell ref="BK16:BZ16"/>
    <mergeCell ref="CA16:CP16"/>
    <mergeCell ref="CQ16:CR16"/>
    <mergeCell ref="CS16:DH16"/>
    <mergeCell ref="DI16:DX16"/>
    <mergeCell ref="DY16:EN16"/>
    <mergeCell ref="B17:AB17"/>
    <mergeCell ref="AC17:AK21"/>
    <mergeCell ref="AL17:AT17"/>
    <mergeCell ref="AU17:BJ17"/>
    <mergeCell ref="BK17:BZ17"/>
    <mergeCell ref="CA17:CP17"/>
    <mergeCell ref="CQ17:CR17"/>
    <mergeCell ref="CS17:DH17"/>
    <mergeCell ref="DI17:DX17"/>
    <mergeCell ref="DY17:EN17"/>
    <mergeCell ref="B18:AB18"/>
    <mergeCell ref="AL18:AT18"/>
    <mergeCell ref="AU18:BJ18"/>
    <mergeCell ref="BK18:BZ18"/>
    <mergeCell ref="CA18:CP18"/>
    <mergeCell ref="CQ18:CR18"/>
    <mergeCell ref="CS18:DH18"/>
    <mergeCell ref="DI18:DX18"/>
    <mergeCell ref="DY18:EN18"/>
    <mergeCell ref="B19:AB19"/>
    <mergeCell ref="AU19:BJ19"/>
    <mergeCell ref="BK19:BZ19"/>
    <mergeCell ref="CA19:CP19"/>
    <mergeCell ref="CQ19:CR19"/>
    <mergeCell ref="CS19:DH19"/>
    <mergeCell ref="DI19:DX19"/>
    <mergeCell ref="DY19:EN19"/>
    <mergeCell ref="CQ20:CR20"/>
    <mergeCell ref="CS20:DH20"/>
    <mergeCell ref="DI20:DX20"/>
    <mergeCell ref="DY20:EN20"/>
    <mergeCell ref="B20:AB20"/>
    <mergeCell ref="AU20:BJ20"/>
    <mergeCell ref="BK20:BZ20"/>
    <mergeCell ref="CA20:CP20"/>
    <mergeCell ref="CQ21:CR21"/>
    <mergeCell ref="CS21:DH21"/>
    <mergeCell ref="DI21:DX21"/>
    <mergeCell ref="DY21:EN21"/>
    <mergeCell ref="B21:AB21"/>
    <mergeCell ref="AU21:BJ21"/>
    <mergeCell ref="BK21:BZ21"/>
    <mergeCell ref="CA21:CP21"/>
    <mergeCell ref="B22:AB22"/>
    <mergeCell ref="AC22:AH24"/>
    <mergeCell ref="AL22:AM22"/>
    <mergeCell ref="AU22:BE22"/>
    <mergeCell ref="B24:AB24"/>
    <mergeCell ref="AU24:BE24"/>
    <mergeCell ref="CQ23:CR23"/>
    <mergeCell ref="CS23:DH23"/>
    <mergeCell ref="DI23:DX23"/>
    <mergeCell ref="DY23:EN23"/>
    <mergeCell ref="BK22:BZ22"/>
    <mergeCell ref="CA22:CP22"/>
    <mergeCell ref="CS22:DH22"/>
    <mergeCell ref="DI22:DX22"/>
    <mergeCell ref="BK24:BZ24"/>
    <mergeCell ref="CA24:CP24"/>
    <mergeCell ref="CS24:DH24"/>
    <mergeCell ref="DI24:DX24"/>
    <mergeCell ref="DY22:EN22"/>
    <mergeCell ref="B23:AB23"/>
    <mergeCell ref="AL23:AT23"/>
    <mergeCell ref="AU23:BJ23"/>
    <mergeCell ref="BK23:BZ23"/>
    <mergeCell ref="CA23:CP23"/>
    <mergeCell ref="DY24:EN24"/>
    <mergeCell ref="B25:AB25"/>
    <mergeCell ref="AL25:AT25"/>
    <mergeCell ref="AU25:BJ25"/>
    <mergeCell ref="BK25:BZ25"/>
    <mergeCell ref="CA25:CP25"/>
    <mergeCell ref="CQ25:CR25"/>
    <mergeCell ref="CS25:DH25"/>
    <mergeCell ref="DI25:DX25"/>
    <mergeCell ref="DY25:EN25"/>
    <mergeCell ref="B26:AB26"/>
    <mergeCell ref="AL26:AT26"/>
    <mergeCell ref="AU26:BJ26"/>
    <mergeCell ref="BK26:BZ26"/>
    <mergeCell ref="CA26:CP26"/>
    <mergeCell ref="CQ26:CR26"/>
    <mergeCell ref="CS26:DH26"/>
    <mergeCell ref="DI26:DX26"/>
    <mergeCell ref="DY26:EN26"/>
    <mergeCell ref="CQ27:CR27"/>
    <mergeCell ref="CS27:DH27"/>
    <mergeCell ref="DI27:DX27"/>
    <mergeCell ref="DY27:EN27"/>
    <mergeCell ref="B27:AB27"/>
    <mergeCell ref="AU27:BJ27"/>
    <mergeCell ref="BK27:BZ27"/>
    <mergeCell ref="CA27:CP27"/>
    <mergeCell ref="AC25:AK34"/>
    <mergeCell ref="A28:AB28"/>
    <mergeCell ref="A29:AB29"/>
    <mergeCell ref="CA30:CP30"/>
    <mergeCell ref="BK30:BZ30"/>
    <mergeCell ref="A30:AB30"/>
    <mergeCell ref="CQ28:CR28"/>
    <mergeCell ref="CS28:DH28"/>
    <mergeCell ref="DI28:DX28"/>
    <mergeCell ref="DY28:EN28"/>
    <mergeCell ref="AU28:BJ28"/>
    <mergeCell ref="BK28:BZ28"/>
    <mergeCell ref="CA28:CP28"/>
    <mergeCell ref="CQ29:CR29"/>
    <mergeCell ref="CS29:DH29"/>
    <mergeCell ref="DI29:DX29"/>
    <mergeCell ref="DY29:EN29"/>
    <mergeCell ref="AU29:BJ29"/>
    <mergeCell ref="BK29:BZ29"/>
    <mergeCell ref="CA29:CP29"/>
    <mergeCell ref="B41:AB41"/>
    <mergeCell ref="AU41:BJ41"/>
    <mergeCell ref="B43:AB43"/>
    <mergeCell ref="CA31:CP31"/>
    <mergeCell ref="AU32:BJ32"/>
    <mergeCell ref="B39:AB39"/>
    <mergeCell ref="B42:AB42"/>
    <mergeCell ref="AU33:BJ33"/>
    <mergeCell ref="A32:AB32"/>
    <mergeCell ref="AC35:AH35"/>
    <mergeCell ref="CS31:DH31"/>
    <mergeCell ref="BK32:BZ32"/>
    <mergeCell ref="CA32:CP32"/>
    <mergeCell ref="CQ32:CR32"/>
    <mergeCell ref="CS32:DH32"/>
    <mergeCell ref="CQ33:CR33"/>
    <mergeCell ref="CS33:DH33"/>
    <mergeCell ref="BK33:BZ33"/>
    <mergeCell ref="CA33:CP33"/>
    <mergeCell ref="BK31:BZ31"/>
    <mergeCell ref="DI36:DX36"/>
    <mergeCell ref="DY36:EN36"/>
    <mergeCell ref="B35:AB35"/>
    <mergeCell ref="AU34:BJ34"/>
    <mergeCell ref="BK34:BZ34"/>
    <mergeCell ref="CA34:CP34"/>
    <mergeCell ref="CQ34:CR34"/>
    <mergeCell ref="CS35:DH35"/>
    <mergeCell ref="DY35:EN35"/>
    <mergeCell ref="AU35:BE35"/>
    <mergeCell ref="B36:AB36"/>
    <mergeCell ref="BK36:BZ36"/>
    <mergeCell ref="CA36:CP36"/>
    <mergeCell ref="CS38:DH38"/>
    <mergeCell ref="DI38:DX38"/>
    <mergeCell ref="DY38:EN38"/>
    <mergeCell ref="B37:AB37"/>
    <mergeCell ref="B38:AB38"/>
    <mergeCell ref="AU38:BJ38"/>
    <mergeCell ref="CS36:DH36"/>
    <mergeCell ref="DI35:DX35"/>
    <mergeCell ref="BK35:BZ35"/>
    <mergeCell ref="CA35:CP35"/>
    <mergeCell ref="BK39:BZ39"/>
    <mergeCell ref="CA39:CP39"/>
    <mergeCell ref="CQ39:CR39"/>
    <mergeCell ref="CS39:DH39"/>
    <mergeCell ref="BK38:BZ38"/>
    <mergeCell ref="CA38:CP38"/>
    <mergeCell ref="CQ38:CR38"/>
    <mergeCell ref="DY39:EN39"/>
    <mergeCell ref="B40:AB40"/>
    <mergeCell ref="AU40:BJ40"/>
    <mergeCell ref="BK40:BZ40"/>
    <mergeCell ref="CA40:CP40"/>
    <mergeCell ref="CQ40:CR40"/>
    <mergeCell ref="CS40:DH40"/>
    <mergeCell ref="DI40:DX40"/>
    <mergeCell ref="DY40:EN40"/>
    <mergeCell ref="AU39:BJ39"/>
    <mergeCell ref="CQ41:CR41"/>
    <mergeCell ref="CS41:DH41"/>
    <mergeCell ref="BK42:BX42"/>
    <mergeCell ref="CS42:DF42"/>
    <mergeCell ref="DI39:DX39"/>
    <mergeCell ref="DI42:DU42"/>
    <mergeCell ref="DI41:DX41"/>
    <mergeCell ref="DY41:EN41"/>
    <mergeCell ref="BK41:BZ41"/>
    <mergeCell ref="CA41:CP41"/>
    <mergeCell ref="CA42:CP42"/>
    <mergeCell ref="DI43:DX43"/>
    <mergeCell ref="DY43:EN43"/>
    <mergeCell ref="BK43:BZ43"/>
    <mergeCell ref="CA43:CP43"/>
    <mergeCell ref="CQ43:CR43"/>
    <mergeCell ref="CS43:DH43"/>
    <mergeCell ref="CS45:DH45"/>
    <mergeCell ref="DI45:DX45"/>
    <mergeCell ref="DY45:EN45"/>
    <mergeCell ref="B44:AB44"/>
    <mergeCell ref="AU44:BJ44"/>
    <mergeCell ref="BK44:BZ44"/>
    <mergeCell ref="CA44:CP44"/>
    <mergeCell ref="CQ44:CR44"/>
    <mergeCell ref="CS44:DH44"/>
    <mergeCell ref="CA47:CP47"/>
    <mergeCell ref="CA48:CP48"/>
    <mergeCell ref="CQ48:CR48"/>
    <mergeCell ref="DI44:DX44"/>
    <mergeCell ref="DY44:EN44"/>
    <mergeCell ref="B45:AB45"/>
    <mergeCell ref="AU45:BJ45"/>
    <mergeCell ref="BK45:BZ45"/>
    <mergeCell ref="CA45:CP45"/>
    <mergeCell ref="CQ45:CR45"/>
    <mergeCell ref="B46:AB46"/>
    <mergeCell ref="AU46:BJ46"/>
    <mergeCell ref="BK46:BZ46"/>
    <mergeCell ref="CA46:CP46"/>
    <mergeCell ref="CQ46:CR46"/>
    <mergeCell ref="CS46:DH46"/>
    <mergeCell ref="DI46:DX46"/>
    <mergeCell ref="DY46:EN46"/>
    <mergeCell ref="BK48:BZ48"/>
    <mergeCell ref="CQ47:CR47"/>
    <mergeCell ref="CS47:DH47"/>
    <mergeCell ref="DI47:DX47"/>
    <mergeCell ref="DY47:EN47"/>
    <mergeCell ref="CS48:DH48"/>
    <mergeCell ref="DI48:DX48"/>
    <mergeCell ref="DY48:EN48"/>
    <mergeCell ref="B48:AB48"/>
    <mergeCell ref="AU48:BJ48"/>
    <mergeCell ref="B49:AB49"/>
    <mergeCell ref="B47:AB47"/>
    <mergeCell ref="AU47:BJ47"/>
    <mergeCell ref="BK49:BZ49"/>
    <mergeCell ref="BK47:BZ47"/>
    <mergeCell ref="CA49:CP49"/>
    <mergeCell ref="CQ49:CR49"/>
    <mergeCell ref="CS49:DH49"/>
    <mergeCell ref="DI49:DX49"/>
    <mergeCell ref="B51:AB51"/>
    <mergeCell ref="AU51:BJ51"/>
    <mergeCell ref="BK51:BZ51"/>
    <mergeCell ref="CA51:CP51"/>
    <mergeCell ref="CQ51:CR51"/>
    <mergeCell ref="CS51:DH51"/>
    <mergeCell ref="DY49:EN49"/>
    <mergeCell ref="B50:AB50"/>
    <mergeCell ref="AU50:BJ50"/>
    <mergeCell ref="BK50:BZ50"/>
    <mergeCell ref="CA50:CP50"/>
    <mergeCell ref="CQ50:CR50"/>
    <mergeCell ref="CS50:DH50"/>
    <mergeCell ref="DI50:DX50"/>
    <mergeCell ref="DY50:EN50"/>
    <mergeCell ref="AU49:BJ49"/>
    <mergeCell ref="DI51:DX51"/>
    <mergeCell ref="DY51:EN51"/>
    <mergeCell ref="B52:AB52"/>
    <mergeCell ref="AU52:BJ52"/>
    <mergeCell ref="BK52:BZ52"/>
    <mergeCell ref="CA52:CP52"/>
    <mergeCell ref="BK53:BZ53"/>
    <mergeCell ref="CA53:CP53"/>
    <mergeCell ref="CQ53:CR53"/>
    <mergeCell ref="CS53:DH53"/>
    <mergeCell ref="B53:AB53"/>
    <mergeCell ref="AU53:BJ53"/>
    <mergeCell ref="DI53:DX53"/>
    <mergeCell ref="DY53:EN53"/>
    <mergeCell ref="CQ52:CR52"/>
    <mergeCell ref="CS52:DH52"/>
    <mergeCell ref="DI52:DX52"/>
    <mergeCell ref="DY52:EN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"/>
  <sheetViews>
    <sheetView view="pageBreakPreview" zoomScaleSheetLayoutView="100" zoomScalePageLayoutView="0" workbookViewId="0" topLeftCell="A1">
      <selection activeCell="A1" sqref="A1:FK13"/>
    </sheetView>
  </sheetViews>
  <sheetFormatPr defaultColWidth="0.875" defaultRowHeight="12.75"/>
  <cols>
    <col min="1" max="14" width="0.875" style="1" customWidth="1"/>
    <col min="15" max="15" width="8.00390625" style="1" bestFit="1" customWidth="1"/>
    <col min="16" max="41" width="0.875" style="1" customWidth="1"/>
    <col min="42" max="54" width="1.00390625" style="1" customWidth="1"/>
    <col min="55" max="55" width="2.75390625" style="1" customWidth="1"/>
    <col min="56" max="66" width="0.875" style="1" customWidth="1"/>
    <col min="67" max="67" width="5.25390625" style="1" customWidth="1"/>
    <col min="68" max="82" width="0.875" style="1" customWidth="1"/>
    <col min="83" max="83" width="6.125" style="1" customWidth="1"/>
    <col min="84" max="96" width="1.00390625" style="1" customWidth="1"/>
    <col min="97" max="97" width="2.00390625" style="1" customWidth="1"/>
    <col min="98" max="110" width="0.875" style="1" customWidth="1"/>
    <col min="111" max="111" width="4.625" style="1" customWidth="1"/>
    <col min="112" max="124" width="0.875" style="1" customWidth="1"/>
    <col min="125" max="125" width="4.125" style="1" customWidth="1"/>
    <col min="126" max="138" width="0.875" style="1" customWidth="1"/>
    <col min="139" max="139" width="2.875" style="1" customWidth="1"/>
    <col min="140" max="150" width="0.875" style="1" customWidth="1"/>
    <col min="151" max="151" width="5.375" style="1" customWidth="1"/>
    <col min="152" max="159" width="0.875" style="1" customWidth="1"/>
    <col min="160" max="160" width="6.125" style="1" customWidth="1"/>
    <col min="161" max="16384" width="0.875" style="1" customWidth="1"/>
  </cols>
  <sheetData>
    <row r="1" spans="1:166" ht="15">
      <c r="A1" s="1" t="s">
        <v>103</v>
      </c>
      <c r="B1" s="240" t="s">
        <v>130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</row>
    <row r="2" spans="63:105" ht="15">
      <c r="BK2" s="151" t="s">
        <v>26</v>
      </c>
      <c r="BL2" s="151"/>
      <c r="BM2" s="151"/>
      <c r="BN2" s="151"/>
      <c r="BO2" s="151"/>
      <c r="BP2" s="151"/>
      <c r="BQ2" s="143"/>
      <c r="BR2" s="143"/>
      <c r="BS2" s="143"/>
      <c r="BT2" s="143"/>
      <c r="BU2" s="157" t="s">
        <v>2</v>
      </c>
      <c r="BV2" s="157"/>
      <c r="BW2" s="157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58">
        <v>20</v>
      </c>
      <c r="CQ2" s="158"/>
      <c r="CR2" s="158"/>
      <c r="CS2" s="158"/>
      <c r="CT2" s="153" t="s">
        <v>104</v>
      </c>
      <c r="CU2" s="153"/>
      <c r="CV2" s="153"/>
      <c r="CW2" s="153"/>
      <c r="CX2" s="150" t="s">
        <v>3</v>
      </c>
      <c r="CY2" s="150"/>
      <c r="CZ2" s="150"/>
      <c r="DA2" s="150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50" t="s">
        <v>34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2"/>
      <c r="W4" s="250" t="s">
        <v>28</v>
      </c>
      <c r="X4" s="251"/>
      <c r="Y4" s="251"/>
      <c r="Z4" s="251"/>
      <c r="AA4" s="251"/>
      <c r="AB4" s="251"/>
      <c r="AC4" s="251"/>
      <c r="AD4" s="251"/>
      <c r="AE4" s="252"/>
      <c r="AF4" s="250" t="s">
        <v>78</v>
      </c>
      <c r="AG4" s="251"/>
      <c r="AH4" s="251"/>
      <c r="AI4" s="251"/>
      <c r="AJ4" s="251"/>
      <c r="AK4" s="251"/>
      <c r="AL4" s="251"/>
      <c r="AM4" s="251"/>
      <c r="AN4" s="251"/>
      <c r="AO4" s="252"/>
      <c r="AP4" s="241" t="s">
        <v>81</v>
      </c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2"/>
      <c r="FK4" s="243"/>
    </row>
    <row r="5" spans="1:167" ht="16.5" customHeigh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5"/>
      <c r="W5" s="253"/>
      <c r="X5" s="254"/>
      <c r="Y5" s="254"/>
      <c r="Z5" s="254"/>
      <c r="AA5" s="254"/>
      <c r="AB5" s="254"/>
      <c r="AC5" s="254"/>
      <c r="AD5" s="254"/>
      <c r="AE5" s="255"/>
      <c r="AF5" s="253"/>
      <c r="AG5" s="254"/>
      <c r="AH5" s="254"/>
      <c r="AI5" s="254"/>
      <c r="AJ5" s="254"/>
      <c r="AK5" s="254"/>
      <c r="AL5" s="254"/>
      <c r="AM5" s="254"/>
      <c r="AN5" s="254"/>
      <c r="AO5" s="255"/>
      <c r="AP5" s="250" t="s">
        <v>85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2"/>
      <c r="CF5" s="241" t="s">
        <v>6</v>
      </c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3"/>
    </row>
    <row r="6" spans="1:167" ht="90" customHeight="1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5"/>
      <c r="W6" s="253"/>
      <c r="X6" s="254"/>
      <c r="Y6" s="254"/>
      <c r="Z6" s="254"/>
      <c r="AA6" s="254"/>
      <c r="AB6" s="254"/>
      <c r="AC6" s="254"/>
      <c r="AD6" s="254"/>
      <c r="AE6" s="255"/>
      <c r="AF6" s="253"/>
      <c r="AG6" s="254"/>
      <c r="AH6" s="254"/>
      <c r="AI6" s="254"/>
      <c r="AJ6" s="254"/>
      <c r="AK6" s="254"/>
      <c r="AL6" s="254"/>
      <c r="AM6" s="254"/>
      <c r="AN6" s="254"/>
      <c r="AO6" s="255"/>
      <c r="AP6" s="256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8"/>
      <c r="CF6" s="241" t="s">
        <v>90</v>
      </c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3"/>
      <c r="DV6" s="241" t="s">
        <v>91</v>
      </c>
      <c r="DW6" s="242"/>
      <c r="DX6" s="242"/>
      <c r="DY6" s="242"/>
      <c r="DZ6" s="242"/>
      <c r="EA6" s="242"/>
      <c r="EB6" s="242"/>
      <c r="EC6" s="242"/>
      <c r="ED6" s="242"/>
      <c r="EE6" s="242"/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2"/>
      <c r="FK6" s="243"/>
    </row>
    <row r="7" spans="1:167" ht="15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5"/>
      <c r="W7" s="253"/>
      <c r="X7" s="254"/>
      <c r="Y7" s="254"/>
      <c r="Z7" s="254"/>
      <c r="AA7" s="254"/>
      <c r="AB7" s="254"/>
      <c r="AC7" s="254"/>
      <c r="AD7" s="254"/>
      <c r="AE7" s="255"/>
      <c r="AF7" s="253"/>
      <c r="AG7" s="254"/>
      <c r="AH7" s="254"/>
      <c r="AI7" s="254"/>
      <c r="AJ7" s="254"/>
      <c r="AK7" s="254"/>
      <c r="AL7" s="254"/>
      <c r="AM7" s="254"/>
      <c r="AN7" s="254"/>
      <c r="AO7" s="255"/>
      <c r="AP7" s="267" t="s">
        <v>18</v>
      </c>
      <c r="AQ7" s="268"/>
      <c r="AR7" s="268"/>
      <c r="AS7" s="268"/>
      <c r="AT7" s="268"/>
      <c r="AU7" s="268"/>
      <c r="AV7" s="268"/>
      <c r="AW7" s="247" t="s">
        <v>104</v>
      </c>
      <c r="AX7" s="247"/>
      <c r="AY7" s="247"/>
      <c r="AZ7" s="247"/>
      <c r="BA7" s="248" t="s">
        <v>102</v>
      </c>
      <c r="BB7" s="248"/>
      <c r="BC7" s="249"/>
      <c r="BD7" s="267" t="s">
        <v>18</v>
      </c>
      <c r="BE7" s="268"/>
      <c r="BF7" s="268"/>
      <c r="BG7" s="268"/>
      <c r="BH7" s="268"/>
      <c r="BI7" s="268"/>
      <c r="BJ7" s="268"/>
      <c r="BK7" s="247" t="s">
        <v>105</v>
      </c>
      <c r="BL7" s="247"/>
      <c r="BM7" s="247"/>
      <c r="BN7" s="247"/>
      <c r="BO7" s="248" t="s">
        <v>102</v>
      </c>
      <c r="BP7" s="248"/>
      <c r="BQ7" s="249"/>
      <c r="BR7" s="267" t="s">
        <v>18</v>
      </c>
      <c r="BS7" s="268"/>
      <c r="BT7" s="268"/>
      <c r="BU7" s="268"/>
      <c r="BV7" s="268"/>
      <c r="BW7" s="268"/>
      <c r="BX7" s="268"/>
      <c r="BY7" s="247" t="s">
        <v>129</v>
      </c>
      <c r="BZ7" s="247"/>
      <c r="CA7" s="247"/>
      <c r="CB7" s="247"/>
      <c r="CC7" s="248" t="s">
        <v>102</v>
      </c>
      <c r="CD7" s="248"/>
      <c r="CE7" s="249"/>
      <c r="CF7" s="267" t="s">
        <v>18</v>
      </c>
      <c r="CG7" s="268"/>
      <c r="CH7" s="268"/>
      <c r="CI7" s="268"/>
      <c r="CJ7" s="268"/>
      <c r="CK7" s="268"/>
      <c r="CL7" s="268"/>
      <c r="CM7" s="247" t="s">
        <v>104</v>
      </c>
      <c r="CN7" s="247"/>
      <c r="CO7" s="247"/>
      <c r="CP7" s="247"/>
      <c r="CQ7" s="248" t="s">
        <v>102</v>
      </c>
      <c r="CR7" s="248"/>
      <c r="CS7" s="249"/>
      <c r="CT7" s="267" t="s">
        <v>18</v>
      </c>
      <c r="CU7" s="268"/>
      <c r="CV7" s="268"/>
      <c r="CW7" s="268"/>
      <c r="CX7" s="268"/>
      <c r="CY7" s="268"/>
      <c r="CZ7" s="268"/>
      <c r="DA7" s="247" t="s">
        <v>105</v>
      </c>
      <c r="DB7" s="247"/>
      <c r="DC7" s="247"/>
      <c r="DD7" s="247"/>
      <c r="DE7" s="248" t="s">
        <v>102</v>
      </c>
      <c r="DF7" s="248"/>
      <c r="DG7" s="249"/>
      <c r="DH7" s="267" t="s">
        <v>18</v>
      </c>
      <c r="DI7" s="268"/>
      <c r="DJ7" s="268"/>
      <c r="DK7" s="268"/>
      <c r="DL7" s="268"/>
      <c r="DM7" s="268"/>
      <c r="DN7" s="268"/>
      <c r="DO7" s="247" t="s">
        <v>129</v>
      </c>
      <c r="DP7" s="247"/>
      <c r="DQ7" s="247"/>
      <c r="DR7" s="247"/>
      <c r="DS7" s="248" t="s">
        <v>102</v>
      </c>
      <c r="DT7" s="248"/>
      <c r="DU7" s="249"/>
      <c r="DV7" s="267" t="s">
        <v>18</v>
      </c>
      <c r="DW7" s="268"/>
      <c r="DX7" s="268"/>
      <c r="DY7" s="268"/>
      <c r="DZ7" s="268"/>
      <c r="EA7" s="268"/>
      <c r="EB7" s="268"/>
      <c r="EC7" s="247" t="s">
        <v>104</v>
      </c>
      <c r="ED7" s="247"/>
      <c r="EE7" s="247"/>
      <c r="EF7" s="247"/>
      <c r="EG7" s="248" t="s">
        <v>102</v>
      </c>
      <c r="EH7" s="248"/>
      <c r="EI7" s="249"/>
      <c r="EJ7" s="267" t="s">
        <v>18</v>
      </c>
      <c r="EK7" s="268"/>
      <c r="EL7" s="268"/>
      <c r="EM7" s="268"/>
      <c r="EN7" s="268"/>
      <c r="EO7" s="268"/>
      <c r="EP7" s="268"/>
      <c r="EQ7" s="247" t="s">
        <v>105</v>
      </c>
      <c r="ER7" s="247"/>
      <c r="ES7" s="247"/>
      <c r="ET7" s="247"/>
      <c r="EU7" s="248" t="s">
        <v>102</v>
      </c>
      <c r="EV7" s="248"/>
      <c r="EW7" s="249"/>
      <c r="EX7" s="267" t="s">
        <v>18</v>
      </c>
      <c r="EY7" s="268"/>
      <c r="EZ7" s="268"/>
      <c r="FA7" s="268"/>
      <c r="FB7" s="268"/>
      <c r="FC7" s="268"/>
      <c r="FD7" s="268"/>
      <c r="FE7" s="247" t="s">
        <v>129</v>
      </c>
      <c r="FF7" s="247"/>
      <c r="FG7" s="247"/>
      <c r="FH7" s="247"/>
      <c r="FI7" s="248" t="s">
        <v>102</v>
      </c>
      <c r="FJ7" s="248"/>
      <c r="FK7" s="249"/>
    </row>
    <row r="8" spans="1:167" ht="6.75" customHeight="1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  <c r="W8" s="253"/>
      <c r="X8" s="254"/>
      <c r="Y8" s="254"/>
      <c r="Z8" s="254"/>
      <c r="AA8" s="254"/>
      <c r="AB8" s="254"/>
      <c r="AC8" s="254"/>
      <c r="AD8" s="254"/>
      <c r="AE8" s="255"/>
      <c r="AF8" s="253"/>
      <c r="AG8" s="254"/>
      <c r="AH8" s="254"/>
      <c r="AI8" s="254"/>
      <c r="AJ8" s="254"/>
      <c r="AK8" s="254"/>
      <c r="AL8" s="254"/>
      <c r="AM8" s="254"/>
      <c r="AN8" s="254"/>
      <c r="AO8" s="255"/>
      <c r="AP8" s="25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6"/>
      <c r="BD8" s="25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26"/>
      <c r="BR8" s="25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6"/>
      <c r="CF8" s="25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26"/>
      <c r="CT8" s="25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26"/>
      <c r="DH8" s="25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6"/>
      <c r="DV8" s="25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26"/>
      <c r="EJ8" s="25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26"/>
      <c r="EX8" s="25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26"/>
    </row>
    <row r="9" spans="1:167" ht="45" customHeight="1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8"/>
      <c r="W9" s="256"/>
      <c r="X9" s="257"/>
      <c r="Y9" s="257"/>
      <c r="Z9" s="257"/>
      <c r="AA9" s="257"/>
      <c r="AB9" s="257"/>
      <c r="AC9" s="257"/>
      <c r="AD9" s="257"/>
      <c r="AE9" s="258"/>
      <c r="AF9" s="256"/>
      <c r="AG9" s="257"/>
      <c r="AH9" s="257"/>
      <c r="AI9" s="257"/>
      <c r="AJ9" s="257"/>
      <c r="AK9" s="257"/>
      <c r="AL9" s="257"/>
      <c r="AM9" s="257"/>
      <c r="AN9" s="257"/>
      <c r="AO9" s="258"/>
      <c r="AP9" s="241" t="s">
        <v>82</v>
      </c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3"/>
      <c r="BD9" s="241" t="s">
        <v>83</v>
      </c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3"/>
      <c r="BR9" s="241" t="s">
        <v>84</v>
      </c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3"/>
      <c r="CF9" s="241" t="s">
        <v>82</v>
      </c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3"/>
      <c r="CT9" s="241" t="s">
        <v>83</v>
      </c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3"/>
      <c r="DH9" s="241" t="s">
        <v>84</v>
      </c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3"/>
      <c r="DV9" s="241" t="s">
        <v>82</v>
      </c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3"/>
      <c r="EJ9" s="241" t="s">
        <v>83</v>
      </c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3"/>
      <c r="EX9" s="241" t="s">
        <v>84</v>
      </c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3"/>
    </row>
    <row r="10" spans="1:167" ht="15">
      <c r="A10" s="244">
        <v>1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6"/>
      <c r="W10" s="259" t="s">
        <v>37</v>
      </c>
      <c r="X10" s="260"/>
      <c r="Y10" s="260"/>
      <c r="Z10" s="260"/>
      <c r="AA10" s="260"/>
      <c r="AB10" s="260"/>
      <c r="AC10" s="260"/>
      <c r="AD10" s="260"/>
      <c r="AE10" s="261"/>
      <c r="AF10" s="259" t="s">
        <v>38</v>
      </c>
      <c r="AG10" s="260"/>
      <c r="AH10" s="260"/>
      <c r="AI10" s="260"/>
      <c r="AJ10" s="260"/>
      <c r="AK10" s="260"/>
      <c r="AL10" s="260"/>
      <c r="AM10" s="260"/>
      <c r="AN10" s="260"/>
      <c r="AO10" s="261"/>
      <c r="AP10" s="244">
        <v>4</v>
      </c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6"/>
      <c r="BD10" s="244">
        <v>5</v>
      </c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6"/>
      <c r="BR10" s="244">
        <v>6</v>
      </c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244">
        <v>7</v>
      </c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6"/>
      <c r="CT10" s="244">
        <v>8</v>
      </c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6"/>
      <c r="DH10" s="244">
        <v>9</v>
      </c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6"/>
      <c r="DV10" s="244">
        <v>10</v>
      </c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6"/>
      <c r="EJ10" s="244">
        <v>11</v>
      </c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6"/>
      <c r="EX10" s="244">
        <v>12</v>
      </c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6"/>
    </row>
    <row r="11" spans="1:167" s="5" customFormat="1" ht="61.5" customHeight="1">
      <c r="A11" s="23"/>
      <c r="B11" s="265" t="s">
        <v>79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6"/>
      <c r="W11" s="259" t="s">
        <v>80</v>
      </c>
      <c r="X11" s="260"/>
      <c r="Y11" s="260"/>
      <c r="Z11" s="260"/>
      <c r="AA11" s="260"/>
      <c r="AB11" s="260"/>
      <c r="AC11" s="260"/>
      <c r="AD11" s="260"/>
      <c r="AE11" s="261"/>
      <c r="AF11" s="264" t="s">
        <v>15</v>
      </c>
      <c r="AG11" s="264"/>
      <c r="AH11" s="264"/>
      <c r="AI11" s="264"/>
      <c r="AJ11" s="264"/>
      <c r="AK11" s="264"/>
      <c r="AL11" s="264"/>
      <c r="AM11" s="264"/>
      <c r="AN11" s="264"/>
      <c r="AO11" s="264"/>
      <c r="AP11" s="263">
        <f>AP12+AP13</f>
        <v>180703165.15</v>
      </c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>
        <f>CT11+EJ11</f>
        <v>121595173.32</v>
      </c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>
        <f>DH11+EX11</f>
        <v>120135173.32</v>
      </c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>
        <f>CF12+CF13</f>
        <v>144903165.15</v>
      </c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>
        <f>CT12+CT13</f>
        <v>85795173.32</v>
      </c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>
        <f>DH12+DH13</f>
        <v>84335173.32</v>
      </c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>
        <f>DV12+DV13</f>
        <v>35800000</v>
      </c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>
        <f>EJ12+EJ13</f>
        <v>35800000</v>
      </c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>
        <f>EX12+EX13</f>
        <v>35800000</v>
      </c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</row>
    <row r="12" spans="1:167" s="5" customFormat="1" ht="76.5" customHeight="1">
      <c r="A12" s="23"/>
      <c r="B12" s="265" t="s">
        <v>87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6"/>
      <c r="W12" s="259" t="s">
        <v>86</v>
      </c>
      <c r="X12" s="260"/>
      <c r="Y12" s="260"/>
      <c r="Z12" s="260"/>
      <c r="AA12" s="260"/>
      <c r="AB12" s="260"/>
      <c r="AC12" s="260"/>
      <c r="AD12" s="260"/>
      <c r="AE12" s="261"/>
      <c r="AF12" s="264" t="s">
        <v>15</v>
      </c>
      <c r="AG12" s="264"/>
      <c r="AH12" s="264"/>
      <c r="AI12" s="264"/>
      <c r="AJ12" s="264"/>
      <c r="AK12" s="264"/>
      <c r="AL12" s="264"/>
      <c r="AM12" s="264"/>
      <c r="AN12" s="264"/>
      <c r="AO12" s="264"/>
      <c r="AP12" s="263">
        <f>CF12+DV12</f>
        <v>3627151.31</v>
      </c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>
        <f>CT12+EJ12</f>
        <v>0</v>
      </c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>
        <f>DH12+EX12</f>
        <v>0</v>
      </c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>
        <v>3627151.31</v>
      </c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</row>
    <row r="13" spans="1:167" s="5" customFormat="1" ht="61.5" customHeight="1">
      <c r="A13" s="23"/>
      <c r="B13" s="265" t="s">
        <v>89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6"/>
      <c r="W13" s="259" t="s">
        <v>88</v>
      </c>
      <c r="X13" s="260"/>
      <c r="Y13" s="260"/>
      <c r="Z13" s="260"/>
      <c r="AA13" s="260"/>
      <c r="AB13" s="260"/>
      <c r="AC13" s="260"/>
      <c r="AD13" s="260"/>
      <c r="AE13" s="261"/>
      <c r="AF13" s="264" t="s">
        <v>128</v>
      </c>
      <c r="AG13" s="264"/>
      <c r="AH13" s="264"/>
      <c r="AI13" s="264"/>
      <c r="AJ13" s="264"/>
      <c r="AK13" s="264"/>
      <c r="AL13" s="264"/>
      <c r="AM13" s="264"/>
      <c r="AN13" s="264"/>
      <c r="AO13" s="264"/>
      <c r="AP13" s="263">
        <f>CF13+DV13</f>
        <v>177076013.84</v>
      </c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>
        <f>CT13+EJ13</f>
        <v>121595173.32</v>
      </c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>
        <f>DH13+EX13</f>
        <v>120135173.32</v>
      </c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2">
        <f>83635173.32+40865589.38+13394000+2000000+700000+386600+3921802.45</f>
        <v>144903165.15</v>
      </c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>
        <f>85795173.32</f>
        <v>85795173.32</v>
      </c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>
        <f>90615173.32-6280000</f>
        <v>84335173.32</v>
      </c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>
        <f>32172848.69</f>
        <v>32172848.69</v>
      </c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>
        <f>35800000</f>
        <v>35800000</v>
      </c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>
        <f>35800000</f>
        <v>35800000</v>
      </c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</row>
  </sheetData>
  <sheetProtection/>
  <mergeCells count="100">
    <mergeCell ref="BY7:CB7"/>
    <mergeCell ref="FE7:FH7"/>
    <mergeCell ref="EX7:FD7"/>
    <mergeCell ref="EU7:EW7"/>
    <mergeCell ref="EQ7:ET7"/>
    <mergeCell ref="AP7:AV7"/>
    <mergeCell ref="BD7:BJ7"/>
    <mergeCell ref="BR7:BX7"/>
    <mergeCell ref="CF7:CL7"/>
    <mergeCell ref="AW7:AZ7"/>
    <mergeCell ref="BK7:BN7"/>
    <mergeCell ref="EC7:EF7"/>
    <mergeCell ref="EJ7:EP7"/>
    <mergeCell ref="FI7:FK7"/>
    <mergeCell ref="CQ7:CS7"/>
    <mergeCell ref="DE7:DG7"/>
    <mergeCell ref="DS7:DU7"/>
    <mergeCell ref="EG7:EI7"/>
    <mergeCell ref="DV7:EB7"/>
    <mergeCell ref="CT7:CZ7"/>
    <mergeCell ref="DH7:DN7"/>
    <mergeCell ref="DA7:DD7"/>
    <mergeCell ref="DO7:DR7"/>
    <mergeCell ref="AP12:BC12"/>
    <mergeCell ref="BD12:BQ12"/>
    <mergeCell ref="BR12:CE12"/>
    <mergeCell ref="DH12:DU12"/>
    <mergeCell ref="BO7:BQ7"/>
    <mergeCell ref="CC7:CE7"/>
    <mergeCell ref="BD9:BQ9"/>
    <mergeCell ref="EJ12:EW12"/>
    <mergeCell ref="CF11:CS11"/>
    <mergeCell ref="CF12:CS12"/>
    <mergeCell ref="CT11:DG11"/>
    <mergeCell ref="EJ10:EW10"/>
    <mergeCell ref="CT9:DG9"/>
    <mergeCell ref="CT12:DG12"/>
    <mergeCell ref="EX12:FK12"/>
    <mergeCell ref="DH11:DU11"/>
    <mergeCell ref="DV11:EI11"/>
    <mergeCell ref="DH9:DU9"/>
    <mergeCell ref="DV9:EI9"/>
    <mergeCell ref="EX9:FK9"/>
    <mergeCell ref="EJ9:EW9"/>
    <mergeCell ref="EX11:FK11"/>
    <mergeCell ref="EJ11:EW11"/>
    <mergeCell ref="DV12:EI12"/>
    <mergeCell ref="A10:V10"/>
    <mergeCell ref="BR11:CE11"/>
    <mergeCell ref="B11:V11"/>
    <mergeCell ref="W11:AE11"/>
    <mergeCell ref="AF11:AO11"/>
    <mergeCell ref="AP11:BC11"/>
    <mergeCell ref="BD11:BQ11"/>
    <mergeCell ref="B13:V13"/>
    <mergeCell ref="W13:AE13"/>
    <mergeCell ref="AF13:AO13"/>
    <mergeCell ref="B12:V12"/>
    <mergeCell ref="AP5:CE6"/>
    <mergeCell ref="CF5:FK5"/>
    <mergeCell ref="CF6:DU6"/>
    <mergeCell ref="DV6:FK6"/>
    <mergeCell ref="AF10:AO10"/>
    <mergeCell ref="AP10:BC10"/>
    <mergeCell ref="CT13:DG13"/>
    <mergeCell ref="DH13:DU13"/>
    <mergeCell ref="DV13:EI13"/>
    <mergeCell ref="W12:AE12"/>
    <mergeCell ref="AF12:AO12"/>
    <mergeCell ref="BD13:BQ13"/>
    <mergeCell ref="BR13:CE13"/>
    <mergeCell ref="CF13:CS13"/>
    <mergeCell ref="A4:V9"/>
    <mergeCell ref="W10:AE10"/>
    <mergeCell ref="EX10:FK10"/>
    <mergeCell ref="DV10:EI10"/>
    <mergeCell ref="EJ13:EW13"/>
    <mergeCell ref="EX13:FK13"/>
    <mergeCell ref="AP13:BC13"/>
    <mergeCell ref="W4:AE9"/>
    <mergeCell ref="AF4:AO9"/>
    <mergeCell ref="AP9:BC9"/>
    <mergeCell ref="AP4:FK4"/>
    <mergeCell ref="CF9:CS9"/>
    <mergeCell ref="BD10:BQ10"/>
    <mergeCell ref="BR10:CE10"/>
    <mergeCell ref="CT10:DG10"/>
    <mergeCell ref="CF10:CS10"/>
    <mergeCell ref="DH10:DU10"/>
    <mergeCell ref="CM7:CP7"/>
    <mergeCell ref="BA7:BC7"/>
    <mergeCell ref="BR9:CE9"/>
    <mergeCell ref="B1:FJ1"/>
    <mergeCell ref="BK2:BP2"/>
    <mergeCell ref="BQ2:BT2"/>
    <mergeCell ref="BU2:BW2"/>
    <mergeCell ref="BX2:CO2"/>
    <mergeCell ref="CP2:CS2"/>
    <mergeCell ref="CT2:CW2"/>
    <mergeCell ref="CX2:DA2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J19"/>
  <sheetViews>
    <sheetView view="pageBreakPreview" zoomScaleSheetLayoutView="100" zoomScalePageLayoutView="0" workbookViewId="0" topLeftCell="A1">
      <selection activeCell="B1" sqref="A1:EI20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240" t="s">
        <v>135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151" t="s">
        <v>26</v>
      </c>
      <c r="AM2" s="151"/>
      <c r="AN2" s="151"/>
      <c r="AO2" s="151"/>
      <c r="AP2" s="151"/>
      <c r="AQ2" s="151"/>
      <c r="AR2" s="143"/>
      <c r="AS2" s="143"/>
      <c r="AT2" s="143"/>
      <c r="AU2" s="143"/>
      <c r="AV2" s="157" t="s">
        <v>2</v>
      </c>
      <c r="AW2" s="157"/>
      <c r="AX2" s="157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58">
        <v>20</v>
      </c>
      <c r="BR2" s="158"/>
      <c r="BS2" s="158"/>
      <c r="BT2" s="158"/>
      <c r="BU2" s="153" t="s">
        <v>104</v>
      </c>
      <c r="BV2" s="153"/>
      <c r="BW2" s="153"/>
      <c r="BX2" s="153"/>
      <c r="BY2" s="150" t="s">
        <v>3</v>
      </c>
      <c r="BZ2" s="150"/>
      <c r="CA2" s="150"/>
      <c r="CB2" s="150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41" t="s">
        <v>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3"/>
      <c r="BX4" s="241" t="s">
        <v>28</v>
      </c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3"/>
      <c r="CM4" s="241" t="s">
        <v>27</v>
      </c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3"/>
    </row>
    <row r="5" spans="1:117" ht="15">
      <c r="A5" s="276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8"/>
      <c r="BX5" s="271" t="s">
        <v>37</v>
      </c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3"/>
      <c r="CM5" s="271" t="s">
        <v>38</v>
      </c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3"/>
    </row>
    <row r="6" spans="1:117" s="5" customFormat="1" ht="16.5" customHeight="1">
      <c r="A6" s="21"/>
      <c r="B6" s="269" t="s">
        <v>76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70"/>
      <c r="BX6" s="271" t="s">
        <v>94</v>
      </c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3"/>
      <c r="CM6" s="275">
        <v>1336148</v>
      </c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</row>
    <row r="7" spans="1:117" s="5" customFormat="1" ht="16.5" customHeight="1">
      <c r="A7" s="21"/>
      <c r="B7" s="269" t="s">
        <v>77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70"/>
      <c r="BX7" s="271" t="s">
        <v>95</v>
      </c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3"/>
      <c r="CM7" s="275">
        <v>29610.96</v>
      </c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</row>
    <row r="8" spans="1:117" s="5" customFormat="1" ht="16.5" customHeight="1">
      <c r="A8" s="21"/>
      <c r="B8" s="269" t="s">
        <v>92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70"/>
      <c r="BX8" s="271" t="s">
        <v>96</v>
      </c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3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</row>
    <row r="9" spans="1:117" s="5" customFormat="1" ht="16.5" customHeight="1">
      <c r="A9" s="21"/>
      <c r="B9" s="269" t="s">
        <v>93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70"/>
      <c r="BX9" s="271" t="s">
        <v>97</v>
      </c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3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</row>
    <row r="10" ht="12.75" customHeight="1"/>
    <row r="11" ht="12.75" customHeight="1"/>
    <row r="12" spans="2:140" ht="15">
      <c r="B12" s="240" t="s">
        <v>98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</row>
    <row r="13" spans="38:80" ht="15">
      <c r="AL13" s="151" t="s">
        <v>26</v>
      </c>
      <c r="AM13" s="151"/>
      <c r="AN13" s="151"/>
      <c r="AO13" s="151"/>
      <c r="AP13" s="151"/>
      <c r="AQ13" s="151"/>
      <c r="AR13" s="143"/>
      <c r="AS13" s="143"/>
      <c r="AT13" s="143"/>
      <c r="AU13" s="143"/>
      <c r="AV13" s="157" t="s">
        <v>2</v>
      </c>
      <c r="AW13" s="157"/>
      <c r="AX13" s="157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58">
        <v>20</v>
      </c>
      <c r="BR13" s="158"/>
      <c r="BS13" s="158"/>
      <c r="BT13" s="158"/>
      <c r="BU13" s="153" t="s">
        <v>104</v>
      </c>
      <c r="BV13" s="153"/>
      <c r="BW13" s="153"/>
      <c r="BX13" s="153"/>
      <c r="BY13" s="150" t="s">
        <v>3</v>
      </c>
      <c r="BZ13" s="150"/>
      <c r="CA13" s="150"/>
      <c r="CB13" s="150"/>
    </row>
    <row r="14" spans="1:140" ht="3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1:117" ht="16.5" customHeight="1">
      <c r="A15" s="241" t="s">
        <v>0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3"/>
      <c r="BX15" s="241" t="s">
        <v>28</v>
      </c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3"/>
      <c r="CM15" s="241" t="s">
        <v>27</v>
      </c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3"/>
    </row>
    <row r="16" spans="1:117" ht="15">
      <c r="A16" s="276">
        <v>1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8"/>
      <c r="BX16" s="271" t="s">
        <v>37</v>
      </c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3"/>
      <c r="CM16" s="271" t="s">
        <v>38</v>
      </c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3"/>
    </row>
    <row r="17" spans="1:117" s="5" customFormat="1" ht="16.5" customHeight="1">
      <c r="A17" s="21"/>
      <c r="B17" s="269" t="s">
        <v>99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70"/>
      <c r="BX17" s="271" t="s">
        <v>94</v>
      </c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3"/>
      <c r="CM17" s="275">
        <v>84876847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</row>
    <row r="18" spans="1:117" s="5" customFormat="1" ht="46.5" customHeight="1">
      <c r="A18" s="21"/>
      <c r="B18" s="269" t="s">
        <v>186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70"/>
      <c r="BX18" s="271" t="s">
        <v>95</v>
      </c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3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</row>
    <row r="19" spans="1:117" s="5" customFormat="1" ht="16.5" customHeight="1">
      <c r="A19" s="21"/>
      <c r="B19" s="269" t="s">
        <v>100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70"/>
      <c r="BX19" s="271" t="s">
        <v>96</v>
      </c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3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</row>
  </sheetData>
  <sheetProtection/>
  <mergeCells count="49">
    <mergeCell ref="B17:BW17"/>
    <mergeCell ref="BX17:CL17"/>
    <mergeCell ref="AL13:AQ13"/>
    <mergeCell ref="AR13:AU13"/>
    <mergeCell ref="AV13:AX13"/>
    <mergeCell ref="B12:DL12"/>
    <mergeCell ref="BQ13:BT13"/>
    <mergeCell ref="BU13:BX13"/>
    <mergeCell ref="BY13:CB13"/>
    <mergeCell ref="AV2:AX2"/>
    <mergeCell ref="BY2:CB2"/>
    <mergeCell ref="CM17:DM17"/>
    <mergeCell ref="A15:BW15"/>
    <mergeCell ref="BX15:CL15"/>
    <mergeCell ref="A16:BW16"/>
    <mergeCell ref="BX16:CL16"/>
    <mergeCell ref="CM16:DM16"/>
    <mergeCell ref="CM15:DM15"/>
    <mergeCell ref="BX9:CL9"/>
    <mergeCell ref="AY2:BP2"/>
    <mergeCell ref="BQ2:BT2"/>
    <mergeCell ref="B9:BW9"/>
    <mergeCell ref="CM9:DM9"/>
    <mergeCell ref="CM8:DM8"/>
    <mergeCell ref="B6:BW6"/>
    <mergeCell ref="BX6:CL6"/>
    <mergeCell ref="CM6:DM6"/>
    <mergeCell ref="B7:BW7"/>
    <mergeCell ref="BX7:CL7"/>
    <mergeCell ref="B1:DL1"/>
    <mergeCell ref="BX5:CL5"/>
    <mergeCell ref="CM5:DM5"/>
    <mergeCell ref="A4:BW4"/>
    <mergeCell ref="BX4:CL4"/>
    <mergeCell ref="BU2:BX2"/>
    <mergeCell ref="CM4:DM4"/>
    <mergeCell ref="A5:BW5"/>
    <mergeCell ref="AL2:AQ2"/>
    <mergeCell ref="AR2:AU2"/>
    <mergeCell ref="B19:BW19"/>
    <mergeCell ref="BX19:CL19"/>
    <mergeCell ref="CM19:DM19"/>
    <mergeCell ref="CM7:DM7"/>
    <mergeCell ref="B8:BW8"/>
    <mergeCell ref="BX8:CL8"/>
    <mergeCell ref="B18:BW18"/>
    <mergeCell ref="BX18:CL18"/>
    <mergeCell ref="CM18:DM18"/>
    <mergeCell ref="AY13:BP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O69"/>
  <sheetViews>
    <sheetView tabSelected="1" view="pageBreakPreview" zoomScaleSheetLayoutView="100" zoomScalePageLayoutView="0" workbookViewId="0" topLeftCell="A7">
      <selection activeCell="A1" sqref="A1"/>
    </sheetView>
  </sheetViews>
  <sheetFormatPr defaultColWidth="0.875" defaultRowHeight="12" customHeight="1"/>
  <cols>
    <col min="1" max="30" width="1.00390625" style="64" customWidth="1"/>
    <col min="31" max="143" width="0.875" style="64" customWidth="1"/>
    <col min="144" max="145" width="1.37890625" style="64" customWidth="1"/>
    <col min="146" max="196" width="0.875" style="64" customWidth="1"/>
    <col min="197" max="197" width="10.875" style="64" bestFit="1" customWidth="1"/>
    <col min="198" max="16384" width="0.875" style="64" customWidth="1"/>
  </cols>
  <sheetData>
    <row r="1" s="37" customFormat="1" ht="6" customHeight="1"/>
    <row r="2" spans="68:167" s="38" customFormat="1" ht="10.5" customHeight="1">
      <c r="BP2" s="368" t="s">
        <v>9</v>
      </c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  <c r="DE2" s="368"/>
      <c r="DF2" s="368"/>
      <c r="DG2" s="368"/>
      <c r="DH2" s="368"/>
      <c r="DI2" s="368"/>
      <c r="DJ2" s="368"/>
      <c r="DK2" s="368"/>
      <c r="DL2" s="368"/>
      <c r="DM2" s="368"/>
      <c r="DN2" s="368"/>
      <c r="DO2" s="368"/>
      <c r="DP2" s="368"/>
      <c r="DQ2" s="368"/>
      <c r="DR2" s="368"/>
      <c r="DS2" s="368"/>
      <c r="DT2" s="368"/>
      <c r="DU2" s="368"/>
      <c r="DV2" s="368"/>
      <c r="DW2" s="368"/>
      <c r="DX2" s="368"/>
      <c r="DY2" s="368"/>
      <c r="DZ2" s="368"/>
      <c r="EA2" s="368"/>
      <c r="EB2" s="368"/>
      <c r="EC2" s="368"/>
      <c r="ED2" s="368"/>
      <c r="EE2" s="368"/>
      <c r="EF2" s="368"/>
      <c r="EG2" s="368"/>
      <c r="EH2" s="368"/>
      <c r="EI2" s="368"/>
      <c r="EJ2" s="368"/>
      <c r="EK2" s="368"/>
      <c r="EL2" s="368"/>
      <c r="EM2" s="368"/>
      <c r="EN2" s="368"/>
      <c r="EO2" s="368"/>
      <c r="EP2" s="368"/>
      <c r="EQ2" s="368"/>
      <c r="ER2" s="368"/>
      <c r="ES2" s="368"/>
      <c r="ET2" s="368"/>
      <c r="EU2" s="368"/>
      <c r="EV2" s="368"/>
      <c r="EW2" s="368"/>
      <c r="EX2" s="368"/>
      <c r="EY2" s="368"/>
      <c r="EZ2" s="368"/>
      <c r="FA2" s="368"/>
      <c r="FB2" s="368"/>
      <c r="FC2" s="368"/>
      <c r="FD2" s="368"/>
      <c r="FE2" s="368"/>
      <c r="FF2" s="368"/>
      <c r="FG2" s="368"/>
      <c r="FH2" s="368"/>
      <c r="FI2" s="368"/>
      <c r="FJ2" s="368"/>
      <c r="FK2" s="368"/>
    </row>
    <row r="3" spans="68:167" s="38" customFormat="1" ht="23.25" customHeight="1">
      <c r="BP3" s="404" t="s">
        <v>600</v>
      </c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4"/>
      <c r="EQ3" s="404"/>
      <c r="ER3" s="404"/>
      <c r="ES3" s="404"/>
      <c r="ET3" s="404"/>
      <c r="EU3" s="404"/>
      <c r="EV3" s="404"/>
      <c r="EW3" s="404"/>
      <c r="EX3" s="404"/>
      <c r="EY3" s="404"/>
      <c r="EZ3" s="404"/>
      <c r="FA3" s="404"/>
      <c r="FB3" s="404"/>
      <c r="FC3" s="404"/>
      <c r="FD3" s="404"/>
      <c r="FE3" s="404"/>
      <c r="FF3" s="404"/>
      <c r="FG3" s="404"/>
      <c r="FH3" s="404"/>
      <c r="FI3" s="404"/>
      <c r="FJ3" s="404"/>
      <c r="FK3" s="404"/>
    </row>
    <row r="4" spans="68:167" s="37" customFormat="1" ht="9.75" customHeight="1">
      <c r="BP4" s="321" t="s">
        <v>136</v>
      </c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</row>
    <row r="5" spans="68:167" s="38" customFormat="1" ht="10.5" customHeight="1">
      <c r="BP5" s="316" t="s">
        <v>179</v>
      </c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</row>
    <row r="6" spans="68:167" s="37" customFormat="1" ht="9.75" customHeight="1">
      <c r="BP6" s="322" t="s">
        <v>137</v>
      </c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</row>
    <row r="7" spans="68:167" s="38" customFormat="1" ht="10.5" customHeight="1"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9"/>
      <c r="CM7" s="39"/>
      <c r="DT7" s="39"/>
      <c r="DU7" s="39"/>
      <c r="DV7" s="39"/>
      <c r="DW7" s="39"/>
      <c r="DX7" s="39"/>
      <c r="DY7" s="316" t="s">
        <v>599</v>
      </c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  <c r="EQ7" s="316"/>
      <c r="ER7" s="316"/>
      <c r="ES7" s="316"/>
      <c r="ET7" s="316"/>
      <c r="EU7" s="316"/>
      <c r="EV7" s="316"/>
      <c r="EW7" s="316"/>
      <c r="EX7" s="316"/>
      <c r="EY7" s="316"/>
      <c r="EZ7" s="316"/>
      <c r="FA7" s="316"/>
      <c r="FB7" s="316"/>
      <c r="FC7" s="316"/>
      <c r="FD7" s="316"/>
      <c r="FE7" s="316"/>
      <c r="FF7" s="316"/>
      <c r="FG7" s="316"/>
      <c r="FH7" s="316"/>
      <c r="FI7" s="316"/>
      <c r="FJ7" s="316"/>
      <c r="FK7" s="316"/>
    </row>
    <row r="8" spans="68:167" s="37" customFormat="1" ht="9.75" customHeight="1">
      <c r="BP8" s="322" t="s">
        <v>7</v>
      </c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40"/>
      <c r="CM8" s="40"/>
      <c r="DY8" s="321" t="s">
        <v>8</v>
      </c>
      <c r="DZ8" s="321"/>
      <c r="EA8" s="321"/>
      <c r="EB8" s="321"/>
      <c r="EC8" s="321"/>
      <c r="ED8" s="321"/>
      <c r="EE8" s="321"/>
      <c r="EF8" s="321"/>
      <c r="EG8" s="321"/>
      <c r="EH8" s="321"/>
      <c r="EI8" s="321"/>
      <c r="EJ8" s="321"/>
      <c r="EK8" s="321"/>
      <c r="EL8" s="321"/>
      <c r="EM8" s="321"/>
      <c r="EN8" s="321"/>
      <c r="EO8" s="321"/>
      <c r="EP8" s="321"/>
      <c r="EQ8" s="321"/>
      <c r="ER8" s="321"/>
      <c r="ES8" s="321"/>
      <c r="ET8" s="321"/>
      <c r="EU8" s="321"/>
      <c r="EV8" s="321"/>
      <c r="EW8" s="321"/>
      <c r="EX8" s="321"/>
      <c r="EY8" s="321"/>
      <c r="EZ8" s="321"/>
      <c r="FA8" s="321"/>
      <c r="FB8" s="321"/>
      <c r="FC8" s="321"/>
      <c r="FD8" s="321"/>
      <c r="FE8" s="321"/>
      <c r="FF8" s="321"/>
      <c r="FG8" s="321"/>
      <c r="FH8" s="321"/>
      <c r="FI8" s="321"/>
      <c r="FJ8" s="321"/>
      <c r="FK8" s="321"/>
    </row>
    <row r="9" spans="68:167" s="38" customFormat="1" ht="10.5" customHeight="1">
      <c r="BP9" s="41" t="s">
        <v>2</v>
      </c>
      <c r="BQ9" s="314"/>
      <c r="BR9" s="314"/>
      <c r="BS9" s="314"/>
      <c r="BT9" s="314"/>
      <c r="BU9" s="314"/>
      <c r="BV9" s="315" t="s">
        <v>2</v>
      </c>
      <c r="BW9" s="315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7">
        <v>20</v>
      </c>
      <c r="CV9" s="317"/>
      <c r="CW9" s="317"/>
      <c r="CX9" s="317"/>
      <c r="CY9" s="318" t="s">
        <v>104</v>
      </c>
      <c r="CZ9" s="318"/>
      <c r="DA9" s="318"/>
      <c r="DB9" s="315" t="s">
        <v>3</v>
      </c>
      <c r="DC9" s="315"/>
      <c r="DD9" s="315"/>
      <c r="FK9" s="41"/>
    </row>
    <row r="10" spans="2:154" s="42" customFormat="1" ht="15" customHeight="1">
      <c r="B10" s="402" t="s">
        <v>138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</row>
    <row r="11" spans="1:167" s="38" customFormat="1" ht="12" customHeight="1" thickBot="1">
      <c r="A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I11" s="44" t="s">
        <v>183</v>
      </c>
      <c r="EJ11" s="403" t="s">
        <v>104</v>
      </c>
      <c r="EK11" s="403"/>
      <c r="EL11" s="403"/>
      <c r="EM11" s="403"/>
      <c r="EN11" s="45" t="s">
        <v>139</v>
      </c>
      <c r="EO11" s="45"/>
      <c r="EP11" s="45"/>
      <c r="EQ11" s="45"/>
      <c r="EZ11" s="396" t="s">
        <v>10</v>
      </c>
      <c r="FA11" s="397"/>
      <c r="FB11" s="397"/>
      <c r="FC11" s="397"/>
      <c r="FD11" s="397"/>
      <c r="FE11" s="397"/>
      <c r="FF11" s="397"/>
      <c r="FG11" s="397"/>
      <c r="FH11" s="397"/>
      <c r="FI11" s="397"/>
      <c r="FJ11" s="397"/>
      <c r="FK11" s="398"/>
    </row>
    <row r="12" spans="132:167" s="38" customFormat="1" ht="6" customHeight="1">
      <c r="EB12" s="45"/>
      <c r="EC12" s="45"/>
      <c r="ED12" s="45"/>
      <c r="EE12" s="45"/>
      <c r="EF12" s="46"/>
      <c r="EG12" s="46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8"/>
      <c r="ES12" s="48"/>
      <c r="ET12" s="48"/>
      <c r="EU12" s="48"/>
      <c r="EW12" s="47"/>
      <c r="EX12" s="48" t="s">
        <v>140</v>
      </c>
      <c r="EZ12" s="399" t="s">
        <v>141</v>
      </c>
      <c r="FA12" s="400"/>
      <c r="FB12" s="400"/>
      <c r="FC12" s="400"/>
      <c r="FD12" s="400"/>
      <c r="FE12" s="400"/>
      <c r="FF12" s="400"/>
      <c r="FG12" s="400"/>
      <c r="FH12" s="400"/>
      <c r="FI12" s="400"/>
      <c r="FJ12" s="400"/>
      <c r="FK12" s="401"/>
    </row>
    <row r="13" spans="43:167" s="38" customFormat="1" ht="10.5" customHeight="1">
      <c r="AQ13" s="41" t="s">
        <v>142</v>
      </c>
      <c r="AR13" s="314"/>
      <c r="AS13" s="314"/>
      <c r="AT13" s="314"/>
      <c r="AU13" s="314"/>
      <c r="AV13" s="314"/>
      <c r="AW13" s="315" t="s">
        <v>2</v>
      </c>
      <c r="AX13" s="315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7">
        <v>20</v>
      </c>
      <c r="BW13" s="317"/>
      <c r="BX13" s="317"/>
      <c r="BY13" s="317"/>
      <c r="BZ13" s="318" t="s">
        <v>104</v>
      </c>
      <c r="CA13" s="318"/>
      <c r="CB13" s="318"/>
      <c r="CC13" s="315" t="s">
        <v>3</v>
      </c>
      <c r="CD13" s="315"/>
      <c r="CE13" s="315"/>
      <c r="ER13" s="41"/>
      <c r="ES13" s="41"/>
      <c r="ET13" s="41"/>
      <c r="EU13" s="41"/>
      <c r="EX13" s="41" t="s">
        <v>11</v>
      </c>
      <c r="EZ13" s="382"/>
      <c r="FA13" s="383"/>
      <c r="FB13" s="383"/>
      <c r="FC13" s="383"/>
      <c r="FD13" s="383"/>
      <c r="FE13" s="383"/>
      <c r="FF13" s="383"/>
      <c r="FG13" s="383"/>
      <c r="FH13" s="383"/>
      <c r="FI13" s="383"/>
      <c r="FJ13" s="383"/>
      <c r="FK13" s="384"/>
    </row>
    <row r="14" spans="1:167" s="38" customFormat="1" ht="10.5" customHeight="1">
      <c r="A14" s="38" t="s">
        <v>184</v>
      </c>
      <c r="AO14" s="385" t="s">
        <v>314</v>
      </c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  <c r="BM14" s="385"/>
      <c r="BN14" s="385"/>
      <c r="BO14" s="385"/>
      <c r="BP14" s="385"/>
      <c r="BQ14" s="385"/>
      <c r="BR14" s="385"/>
      <c r="BS14" s="385"/>
      <c r="BT14" s="385"/>
      <c r="BU14" s="385"/>
      <c r="BV14" s="385"/>
      <c r="BW14" s="385"/>
      <c r="BX14" s="385"/>
      <c r="BY14" s="385"/>
      <c r="BZ14" s="385"/>
      <c r="CA14" s="385"/>
      <c r="CB14" s="385"/>
      <c r="CC14" s="385"/>
      <c r="CD14" s="385"/>
      <c r="CE14" s="385"/>
      <c r="CF14" s="385"/>
      <c r="CG14" s="385"/>
      <c r="CH14" s="385"/>
      <c r="CI14" s="385"/>
      <c r="CJ14" s="385"/>
      <c r="CK14" s="385"/>
      <c r="CL14" s="385"/>
      <c r="CM14" s="385"/>
      <c r="CN14" s="385"/>
      <c r="CO14" s="385"/>
      <c r="CP14" s="385"/>
      <c r="CQ14" s="385"/>
      <c r="CR14" s="385"/>
      <c r="CS14" s="385"/>
      <c r="CT14" s="385"/>
      <c r="CU14" s="385"/>
      <c r="CV14" s="385"/>
      <c r="CW14" s="385"/>
      <c r="CX14" s="385"/>
      <c r="CY14" s="385"/>
      <c r="CZ14" s="385"/>
      <c r="DA14" s="385"/>
      <c r="DB14" s="385"/>
      <c r="DC14" s="385"/>
      <c r="DD14" s="385"/>
      <c r="DE14" s="385"/>
      <c r="DF14" s="385"/>
      <c r="DG14" s="385"/>
      <c r="DH14" s="385"/>
      <c r="DI14" s="385"/>
      <c r="DJ14" s="385"/>
      <c r="DK14" s="385"/>
      <c r="DL14" s="385"/>
      <c r="DM14" s="385"/>
      <c r="DN14" s="385"/>
      <c r="DO14" s="385"/>
      <c r="DP14" s="385"/>
      <c r="DQ14" s="385"/>
      <c r="DR14" s="385"/>
      <c r="DS14" s="385"/>
      <c r="DT14" s="385"/>
      <c r="DU14" s="385"/>
      <c r="DV14" s="385"/>
      <c r="DW14" s="385"/>
      <c r="DX14" s="385"/>
      <c r="DY14" s="385"/>
      <c r="DZ14" s="385"/>
      <c r="EA14" s="385"/>
      <c r="EB14" s="385"/>
      <c r="EC14" s="385"/>
      <c r="ED14" s="385"/>
      <c r="EE14" s="385"/>
      <c r="EF14" s="385"/>
      <c r="EG14" s="385"/>
      <c r="EH14" s="385"/>
      <c r="EI14" s="385"/>
      <c r="EJ14" s="385"/>
      <c r="EK14" s="385"/>
      <c r="EL14" s="385"/>
      <c r="ER14" s="41"/>
      <c r="ES14" s="41"/>
      <c r="ET14" s="41"/>
      <c r="EU14" s="41"/>
      <c r="EX14" s="41"/>
      <c r="EZ14" s="372"/>
      <c r="FA14" s="373"/>
      <c r="FB14" s="373"/>
      <c r="FC14" s="373"/>
      <c r="FD14" s="373"/>
      <c r="FE14" s="373"/>
      <c r="FF14" s="373"/>
      <c r="FG14" s="373"/>
      <c r="FH14" s="373"/>
      <c r="FI14" s="373"/>
      <c r="FJ14" s="373"/>
      <c r="FK14" s="374"/>
    </row>
    <row r="15" spans="1:167" s="38" customFormat="1" ht="10.5" customHeight="1">
      <c r="A15" s="38" t="s">
        <v>143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O15" s="386"/>
      <c r="AP15" s="386"/>
      <c r="AQ15" s="386"/>
      <c r="AR15" s="386"/>
      <c r="AS15" s="386"/>
      <c r="AT15" s="386"/>
      <c r="AU15" s="386"/>
      <c r="AV15" s="386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R15" s="41"/>
      <c r="ES15" s="41"/>
      <c r="ET15" s="41"/>
      <c r="EU15" s="41"/>
      <c r="EX15" s="41" t="s">
        <v>12</v>
      </c>
      <c r="EZ15" s="375"/>
      <c r="FA15" s="314"/>
      <c r="FB15" s="314"/>
      <c r="FC15" s="314"/>
      <c r="FD15" s="314"/>
      <c r="FE15" s="314"/>
      <c r="FF15" s="314"/>
      <c r="FG15" s="314"/>
      <c r="FH15" s="314"/>
      <c r="FI15" s="314"/>
      <c r="FJ15" s="314"/>
      <c r="FK15" s="376"/>
    </row>
    <row r="16" spans="1:167" s="38" customFormat="1" ht="3" customHeight="1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R16" s="41"/>
      <c r="ES16" s="41"/>
      <c r="ET16" s="41"/>
      <c r="EU16" s="41"/>
      <c r="EX16" s="41"/>
      <c r="EZ16" s="372"/>
      <c r="FA16" s="373"/>
      <c r="FB16" s="373"/>
      <c r="FC16" s="373"/>
      <c r="FD16" s="373"/>
      <c r="FE16" s="373"/>
      <c r="FF16" s="373"/>
      <c r="FG16" s="373"/>
      <c r="FH16" s="373"/>
      <c r="FI16" s="373"/>
      <c r="FJ16" s="373"/>
      <c r="FK16" s="374"/>
    </row>
    <row r="17" spans="1:167" s="38" customFormat="1" ht="10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N17" s="49"/>
      <c r="AO17" s="50" t="s">
        <v>144</v>
      </c>
      <c r="AP17" s="49"/>
      <c r="AQ17" s="49"/>
      <c r="AR17" s="49"/>
      <c r="AY17" s="390" t="s">
        <v>315</v>
      </c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2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R17" s="41"/>
      <c r="ES17" s="41"/>
      <c r="ET17" s="41"/>
      <c r="EU17" s="41"/>
      <c r="EX17" s="41" t="s">
        <v>145</v>
      </c>
      <c r="EZ17" s="387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38" customFormat="1" ht="3" customHeight="1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Y18" s="393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5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R18" s="41"/>
      <c r="ES18" s="41"/>
      <c r="ET18" s="41"/>
      <c r="EU18" s="41"/>
      <c r="EX18" s="41"/>
      <c r="EZ18" s="375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76"/>
    </row>
    <row r="19" spans="1:167" s="38" customFormat="1" ht="10.5" customHeight="1">
      <c r="A19" s="38" t="s">
        <v>146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O19" s="371" t="s">
        <v>180</v>
      </c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R19" s="41"/>
      <c r="ES19" s="41"/>
      <c r="ET19" s="41"/>
      <c r="EU19" s="41"/>
      <c r="EX19" s="48" t="s">
        <v>147</v>
      </c>
      <c r="EZ19" s="382"/>
      <c r="FA19" s="383"/>
      <c r="FB19" s="383"/>
      <c r="FC19" s="383"/>
      <c r="FD19" s="383"/>
      <c r="FE19" s="383"/>
      <c r="FF19" s="383"/>
      <c r="FG19" s="383"/>
      <c r="FH19" s="383"/>
      <c r="FI19" s="383"/>
      <c r="FJ19" s="383"/>
      <c r="FK19" s="384"/>
    </row>
    <row r="20" spans="1:167" s="38" customFormat="1" ht="10.5" customHeight="1">
      <c r="A20" s="38" t="s">
        <v>148</v>
      </c>
      <c r="AO20" s="370" t="s">
        <v>181</v>
      </c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0"/>
      <c r="EK20" s="370"/>
      <c r="EL20" s="370"/>
      <c r="ER20" s="41"/>
      <c r="ES20" s="41"/>
      <c r="ET20" s="41"/>
      <c r="EU20" s="41"/>
      <c r="EX20" s="41"/>
      <c r="EZ20" s="372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4"/>
    </row>
    <row r="21" spans="1:167" s="38" customFormat="1" ht="10.5" customHeight="1">
      <c r="A21" s="38" t="s">
        <v>149</v>
      </c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71"/>
      <c r="EL21" s="371"/>
      <c r="ER21" s="41"/>
      <c r="ES21" s="41"/>
      <c r="ET21" s="41"/>
      <c r="EU21" s="41"/>
      <c r="EX21" s="41" t="s">
        <v>23</v>
      </c>
      <c r="EZ21" s="377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378"/>
    </row>
    <row r="22" spans="1:167" s="38" customFormat="1" ht="10.5" customHeight="1">
      <c r="A22" s="38" t="s">
        <v>148</v>
      </c>
      <c r="AO22" s="370" t="s">
        <v>182</v>
      </c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N22" s="47"/>
      <c r="EO22" s="47"/>
      <c r="EP22" s="47"/>
      <c r="EQ22" s="47"/>
      <c r="ER22" s="48"/>
      <c r="ES22" s="48"/>
      <c r="ET22" s="48"/>
      <c r="EU22" s="48"/>
      <c r="EW22" s="47"/>
      <c r="EZ22" s="372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4"/>
    </row>
    <row r="23" spans="1:167" s="38" customFormat="1" ht="10.5" customHeight="1">
      <c r="A23" s="38" t="s">
        <v>150</v>
      </c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  <c r="DG23" s="371"/>
      <c r="DH23" s="371"/>
      <c r="DI23" s="371"/>
      <c r="DJ23" s="371"/>
      <c r="DK23" s="371"/>
      <c r="DL23" s="371"/>
      <c r="DM23" s="371"/>
      <c r="DN23" s="371"/>
      <c r="DO23" s="371"/>
      <c r="DP23" s="371"/>
      <c r="DQ23" s="371"/>
      <c r="DR23" s="371"/>
      <c r="DS23" s="371"/>
      <c r="DT23" s="371"/>
      <c r="DU23" s="371"/>
      <c r="DV23" s="371"/>
      <c r="DW23" s="371"/>
      <c r="DX23" s="371"/>
      <c r="DY23" s="371"/>
      <c r="DZ23" s="371"/>
      <c r="EA23" s="371"/>
      <c r="EB23" s="371"/>
      <c r="EC23" s="371"/>
      <c r="ED23" s="371"/>
      <c r="EE23" s="371"/>
      <c r="EF23" s="371"/>
      <c r="EG23" s="371"/>
      <c r="EH23" s="371"/>
      <c r="EI23" s="371"/>
      <c r="EJ23" s="371"/>
      <c r="EK23" s="371"/>
      <c r="EL23" s="371"/>
      <c r="EN23" s="47"/>
      <c r="EO23" s="47"/>
      <c r="EP23" s="47"/>
      <c r="EQ23" s="47"/>
      <c r="ER23" s="48"/>
      <c r="ES23" s="48"/>
      <c r="ET23" s="48"/>
      <c r="EU23" s="48"/>
      <c r="EW23" s="47"/>
      <c r="EX23" s="41" t="s">
        <v>12</v>
      </c>
      <c r="EZ23" s="375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76"/>
    </row>
    <row r="24" spans="1:167" s="38" customFormat="1" ht="10.5" customHeight="1">
      <c r="A24" s="38" t="s">
        <v>151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47"/>
      <c r="EK24" s="47"/>
      <c r="EL24" s="47"/>
      <c r="EM24" s="47"/>
      <c r="EN24" s="47"/>
      <c r="EO24" s="47"/>
      <c r="EP24" s="47"/>
      <c r="EQ24" s="47"/>
      <c r="ER24" s="48"/>
      <c r="ES24" s="48"/>
      <c r="ET24" s="48"/>
      <c r="EU24" s="48"/>
      <c r="EW24" s="47"/>
      <c r="EX24" s="41" t="s">
        <v>13</v>
      </c>
      <c r="EZ24" s="377" t="s">
        <v>568</v>
      </c>
      <c r="FA24" s="290"/>
      <c r="FB24" s="290"/>
      <c r="FC24" s="290"/>
      <c r="FD24" s="290"/>
      <c r="FE24" s="290"/>
      <c r="FF24" s="290"/>
      <c r="FG24" s="290"/>
      <c r="FH24" s="290"/>
      <c r="FI24" s="290"/>
      <c r="FJ24" s="290"/>
      <c r="FK24" s="378"/>
    </row>
    <row r="25" spans="12:167" s="38" customFormat="1" ht="10.5" customHeight="1" thickBot="1"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47"/>
      <c r="EK25" s="47"/>
      <c r="EL25" s="47"/>
      <c r="EM25" s="47"/>
      <c r="EN25" s="47"/>
      <c r="EO25" s="47"/>
      <c r="EP25" s="47"/>
      <c r="EQ25" s="47"/>
      <c r="ER25" s="48"/>
      <c r="ES25" s="48"/>
      <c r="ET25" s="48"/>
      <c r="EU25" s="48"/>
      <c r="EW25" s="47"/>
      <c r="EX25" s="41" t="s">
        <v>152</v>
      </c>
      <c r="EZ25" s="379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1"/>
    </row>
    <row r="26" spans="12:167" s="37" customFormat="1" ht="10.5" customHeight="1" thickBot="1">
      <c r="L26" s="322" t="s">
        <v>153</v>
      </c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3"/>
      <c r="EK26" s="53"/>
      <c r="EL26" s="53"/>
      <c r="EM26" s="53"/>
      <c r="EN26" s="53"/>
      <c r="EO26" s="53"/>
      <c r="EP26" s="53"/>
      <c r="EQ26" s="53"/>
      <c r="ER26" s="54"/>
      <c r="ES26" s="54"/>
      <c r="ET26" s="54"/>
      <c r="EU26" s="54"/>
      <c r="EW26" s="53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50:167" s="38" customFormat="1" ht="12" thickBot="1">
      <c r="AX27" s="56"/>
      <c r="AY27" s="56"/>
      <c r="AZ27" s="56"/>
      <c r="BA27" s="56"/>
      <c r="BB27" s="56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CB27" s="51"/>
      <c r="CC27" s="51"/>
      <c r="CD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I27" s="51"/>
      <c r="EL27" s="48" t="s">
        <v>76</v>
      </c>
      <c r="EN27" s="340">
        <v>39557914.86</v>
      </c>
      <c r="EO27" s="341"/>
      <c r="EP27" s="341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1"/>
      <c r="FG27" s="341"/>
      <c r="FH27" s="341"/>
      <c r="FI27" s="341"/>
      <c r="FJ27" s="341"/>
      <c r="FK27" s="342"/>
    </row>
    <row r="28" spans="1:167" s="38" customFormat="1" ht="4.5" customHeight="1">
      <c r="A28" s="49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47"/>
      <c r="EK28" s="47"/>
      <c r="EL28" s="47"/>
      <c r="EM28" s="47"/>
      <c r="EN28" s="47"/>
      <c r="EO28" s="47"/>
      <c r="EP28" s="47"/>
      <c r="EQ28" s="47"/>
      <c r="ER28" s="48"/>
      <c r="ES28" s="48"/>
      <c r="ET28" s="48"/>
      <c r="EU28" s="48"/>
      <c r="EW28" s="4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</row>
    <row r="29" spans="1:167" s="38" customFormat="1" ht="10.5" customHeight="1">
      <c r="A29" s="343" t="s">
        <v>154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6" t="s">
        <v>155</v>
      </c>
      <c r="AF29" s="344"/>
      <c r="AG29" s="344"/>
      <c r="AH29" s="344"/>
      <c r="AI29" s="344"/>
      <c r="AJ29" s="344"/>
      <c r="AK29" s="344"/>
      <c r="AL29" s="344"/>
      <c r="AM29" s="344"/>
      <c r="AN29" s="344"/>
      <c r="AO29" s="347" t="s">
        <v>156</v>
      </c>
      <c r="AP29" s="348"/>
      <c r="AQ29" s="348"/>
      <c r="AR29" s="348"/>
      <c r="AS29" s="348"/>
      <c r="AT29" s="348"/>
      <c r="AU29" s="348"/>
      <c r="AV29" s="348"/>
      <c r="AW29" s="348"/>
      <c r="AX29" s="348"/>
      <c r="AY29" s="346" t="s">
        <v>157</v>
      </c>
      <c r="AZ29" s="344"/>
      <c r="BA29" s="344"/>
      <c r="BB29" s="344"/>
      <c r="BC29" s="344"/>
      <c r="BD29" s="344"/>
      <c r="BE29" s="344"/>
      <c r="BF29" s="344"/>
      <c r="BG29" s="344"/>
      <c r="BH29" s="344"/>
      <c r="BI29" s="349" t="s">
        <v>158</v>
      </c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1"/>
      <c r="CN29" s="352" t="s">
        <v>159</v>
      </c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4"/>
      <c r="DP29" s="361" t="s">
        <v>160</v>
      </c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2"/>
      <c r="EK29" s="362"/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2"/>
      <c r="EW29" s="362"/>
      <c r="EX29" s="362"/>
      <c r="EY29" s="362"/>
      <c r="EZ29" s="362"/>
      <c r="FA29" s="362"/>
      <c r="FB29" s="362"/>
      <c r="FC29" s="362"/>
      <c r="FD29" s="362"/>
      <c r="FE29" s="362"/>
      <c r="FF29" s="362"/>
      <c r="FG29" s="362"/>
      <c r="FH29" s="362"/>
      <c r="FI29" s="362"/>
      <c r="FJ29" s="362"/>
      <c r="FK29" s="362"/>
    </row>
    <row r="30" spans="1:167" s="38" customFormat="1" ht="10.5" customHeight="1">
      <c r="A30" s="345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6"/>
      <c r="AF30" s="344"/>
      <c r="AG30" s="344"/>
      <c r="AH30" s="344"/>
      <c r="AI30" s="344"/>
      <c r="AJ30" s="344"/>
      <c r="AK30" s="344"/>
      <c r="AL30" s="344"/>
      <c r="AM30" s="344"/>
      <c r="AN30" s="344"/>
      <c r="AO30" s="347"/>
      <c r="AP30" s="348"/>
      <c r="AQ30" s="348"/>
      <c r="AR30" s="348"/>
      <c r="AS30" s="348"/>
      <c r="AT30" s="348"/>
      <c r="AU30" s="348"/>
      <c r="AV30" s="348"/>
      <c r="AW30" s="348"/>
      <c r="AX30" s="348"/>
      <c r="AY30" s="346"/>
      <c r="AZ30" s="344"/>
      <c r="BA30" s="344"/>
      <c r="BB30" s="344"/>
      <c r="BC30" s="344"/>
      <c r="BD30" s="344"/>
      <c r="BE30" s="344"/>
      <c r="BF30" s="344"/>
      <c r="BG30" s="344"/>
      <c r="BH30" s="344"/>
      <c r="BI30" s="367" t="s">
        <v>161</v>
      </c>
      <c r="BJ30" s="368"/>
      <c r="BK30" s="368"/>
      <c r="BL30" s="368"/>
      <c r="BM30" s="368"/>
      <c r="BN30" s="368"/>
      <c r="BO30" s="368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9"/>
      <c r="CN30" s="355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7"/>
      <c r="DP30" s="363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</row>
    <row r="31" spans="1:167" s="60" customFormat="1" ht="10.5" customHeight="1">
      <c r="A31" s="345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5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41" t="s">
        <v>162</v>
      </c>
      <c r="CB31" s="318" t="s">
        <v>104</v>
      </c>
      <c r="CC31" s="318"/>
      <c r="CD31" s="318"/>
      <c r="CE31" s="38" t="s">
        <v>3</v>
      </c>
      <c r="CF31" s="38"/>
      <c r="CG31" s="38"/>
      <c r="CH31" s="38"/>
      <c r="CI31" s="38"/>
      <c r="CJ31" s="38"/>
      <c r="CK31" s="38"/>
      <c r="CL31" s="38"/>
      <c r="CM31" s="59"/>
      <c r="CN31" s="355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7"/>
      <c r="DP31" s="363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4"/>
      <c r="EZ31" s="364"/>
      <c r="FA31" s="364"/>
      <c r="FB31" s="364"/>
      <c r="FC31" s="364"/>
      <c r="FD31" s="364"/>
      <c r="FE31" s="364"/>
      <c r="FF31" s="364"/>
      <c r="FG31" s="364"/>
      <c r="FH31" s="364"/>
      <c r="FI31" s="364"/>
      <c r="FJ31" s="364"/>
      <c r="FK31" s="364"/>
    </row>
    <row r="32" spans="1:167" s="60" customFormat="1" ht="3" customHeight="1">
      <c r="A32" s="345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3"/>
      <c r="CN32" s="358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  <c r="DN32" s="359"/>
      <c r="DO32" s="360"/>
      <c r="DP32" s="365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</row>
    <row r="33" spans="1:167" s="60" customFormat="1" ht="14.25" customHeight="1">
      <c r="A33" s="345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36" t="s">
        <v>163</v>
      </c>
      <c r="BJ33" s="336"/>
      <c r="BK33" s="336"/>
      <c r="BL33" s="336"/>
      <c r="BM33" s="336"/>
      <c r="BN33" s="336"/>
      <c r="BO33" s="336"/>
      <c r="BP33" s="336"/>
      <c r="BQ33" s="336"/>
      <c r="BR33" s="336"/>
      <c r="BS33" s="336" t="s">
        <v>164</v>
      </c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8" t="s">
        <v>163</v>
      </c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337"/>
      <c r="DB33" s="338" t="s">
        <v>164</v>
      </c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7"/>
      <c r="DP33" s="336" t="s">
        <v>165</v>
      </c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  <c r="EL33" s="336"/>
      <c r="EM33" s="336"/>
      <c r="EN33" s="336" t="s">
        <v>166</v>
      </c>
      <c r="EO33" s="336"/>
      <c r="EP33" s="336"/>
      <c r="EQ33" s="336"/>
      <c r="ER33" s="336"/>
      <c r="ES33" s="336"/>
      <c r="ET33" s="336"/>
      <c r="EU33" s="336"/>
      <c r="EV33" s="336"/>
      <c r="EW33" s="336"/>
      <c r="EX33" s="336"/>
      <c r="EY33" s="336"/>
      <c r="EZ33" s="336"/>
      <c r="FA33" s="336"/>
      <c r="FB33" s="336"/>
      <c r="FC33" s="336"/>
      <c r="FD33" s="336"/>
      <c r="FE33" s="336"/>
      <c r="FF33" s="336"/>
      <c r="FG33" s="336"/>
      <c r="FH33" s="336"/>
      <c r="FI33" s="336"/>
      <c r="FJ33" s="336"/>
      <c r="FK33" s="336"/>
    </row>
    <row r="34" spans="1:167" s="38" customFormat="1" ht="10.5" customHeight="1">
      <c r="A34" s="337">
        <v>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5">
        <v>2</v>
      </c>
      <c r="AF34" s="335"/>
      <c r="AG34" s="335"/>
      <c r="AH34" s="335"/>
      <c r="AI34" s="335"/>
      <c r="AJ34" s="335"/>
      <c r="AK34" s="335"/>
      <c r="AL34" s="335"/>
      <c r="AM34" s="335"/>
      <c r="AN34" s="335"/>
      <c r="AO34" s="335">
        <v>3</v>
      </c>
      <c r="AP34" s="335"/>
      <c r="AQ34" s="335"/>
      <c r="AR34" s="335"/>
      <c r="AS34" s="335"/>
      <c r="AT34" s="335"/>
      <c r="AU34" s="335"/>
      <c r="AV34" s="335"/>
      <c r="AW34" s="335"/>
      <c r="AX34" s="335"/>
      <c r="AY34" s="335">
        <v>4</v>
      </c>
      <c r="AZ34" s="335"/>
      <c r="BA34" s="335"/>
      <c r="BB34" s="335"/>
      <c r="BC34" s="335"/>
      <c r="BD34" s="335"/>
      <c r="BE34" s="335"/>
      <c r="BF34" s="335"/>
      <c r="BG34" s="335"/>
      <c r="BH34" s="335"/>
      <c r="BI34" s="335">
        <v>5</v>
      </c>
      <c r="BJ34" s="335"/>
      <c r="BK34" s="335"/>
      <c r="BL34" s="335"/>
      <c r="BM34" s="335"/>
      <c r="BN34" s="335"/>
      <c r="BO34" s="335"/>
      <c r="BP34" s="335"/>
      <c r="BQ34" s="335"/>
      <c r="BR34" s="335"/>
      <c r="BS34" s="335">
        <v>6</v>
      </c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>
        <v>7</v>
      </c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>
        <v>8</v>
      </c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>
        <v>9</v>
      </c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>
        <v>10</v>
      </c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</row>
    <row r="35" spans="1:167" s="38" customFormat="1" ht="22.5" customHeight="1">
      <c r="A35" s="307" t="s">
        <v>593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8"/>
      <c r="AE35" s="289"/>
      <c r="AF35" s="290"/>
      <c r="AG35" s="290"/>
      <c r="AH35" s="290"/>
      <c r="AI35" s="290"/>
      <c r="AJ35" s="290"/>
      <c r="AK35" s="290"/>
      <c r="AL35" s="290"/>
      <c r="AM35" s="290"/>
      <c r="AN35" s="291"/>
      <c r="AO35" s="311">
        <v>243</v>
      </c>
      <c r="AP35" s="312"/>
      <c r="AQ35" s="312"/>
      <c r="AR35" s="312"/>
      <c r="AS35" s="312"/>
      <c r="AT35" s="312"/>
      <c r="AU35" s="312"/>
      <c r="AV35" s="312"/>
      <c r="AW35" s="312"/>
      <c r="AX35" s="313"/>
      <c r="AY35" s="289" t="s">
        <v>15</v>
      </c>
      <c r="AZ35" s="290"/>
      <c r="BA35" s="290"/>
      <c r="BB35" s="290"/>
      <c r="BC35" s="290"/>
      <c r="BD35" s="290"/>
      <c r="BE35" s="290"/>
      <c r="BF35" s="290"/>
      <c r="BG35" s="290"/>
      <c r="BH35" s="291"/>
      <c r="BI35" s="289" t="s">
        <v>15</v>
      </c>
      <c r="BJ35" s="290"/>
      <c r="BK35" s="290"/>
      <c r="BL35" s="290"/>
      <c r="BM35" s="290"/>
      <c r="BN35" s="290"/>
      <c r="BO35" s="290"/>
      <c r="BP35" s="290"/>
      <c r="BQ35" s="290"/>
      <c r="BR35" s="291"/>
      <c r="BS35" s="292" t="s">
        <v>15</v>
      </c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4"/>
      <c r="CN35" s="289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1"/>
      <c r="DB35" s="292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4"/>
      <c r="DP35" s="295">
        <v>0</v>
      </c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7"/>
      <c r="EN35" s="298" t="s">
        <v>15</v>
      </c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300"/>
    </row>
    <row r="36" spans="1:167" s="38" customFormat="1" ht="28.5" customHeight="1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10"/>
      <c r="AE36" s="279" t="s">
        <v>15</v>
      </c>
      <c r="AF36" s="280"/>
      <c r="AG36" s="280"/>
      <c r="AH36" s="280"/>
      <c r="AI36" s="280"/>
      <c r="AJ36" s="280"/>
      <c r="AK36" s="280"/>
      <c r="AL36" s="280"/>
      <c r="AM36" s="280"/>
      <c r="AN36" s="281"/>
      <c r="AO36" s="282" t="s">
        <v>15</v>
      </c>
      <c r="AP36" s="283"/>
      <c r="AQ36" s="283"/>
      <c r="AR36" s="283"/>
      <c r="AS36" s="283"/>
      <c r="AT36" s="283"/>
      <c r="AU36" s="283"/>
      <c r="AV36" s="283"/>
      <c r="AW36" s="283"/>
      <c r="AX36" s="284"/>
      <c r="AY36" s="285" t="s">
        <v>120</v>
      </c>
      <c r="AZ36" s="280"/>
      <c r="BA36" s="280"/>
      <c r="BB36" s="280"/>
      <c r="BC36" s="280"/>
      <c r="BD36" s="280"/>
      <c r="BE36" s="280"/>
      <c r="BF36" s="280"/>
      <c r="BG36" s="280"/>
      <c r="BH36" s="281"/>
      <c r="BI36" s="279"/>
      <c r="BJ36" s="280"/>
      <c r="BK36" s="280"/>
      <c r="BL36" s="280"/>
      <c r="BM36" s="280"/>
      <c r="BN36" s="280"/>
      <c r="BO36" s="280"/>
      <c r="BP36" s="280"/>
      <c r="BQ36" s="280"/>
      <c r="BR36" s="281"/>
      <c r="BS36" s="286">
        <v>18821464.16</v>
      </c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8"/>
      <c r="CN36" s="279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1"/>
      <c r="DB36" s="286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8"/>
      <c r="DP36" s="301" t="s">
        <v>15</v>
      </c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3"/>
      <c r="EN36" s="304">
        <v>18821464.16</v>
      </c>
      <c r="EO36" s="305"/>
      <c r="EP36" s="305"/>
      <c r="EQ36" s="305"/>
      <c r="ER36" s="305"/>
      <c r="ES36" s="305"/>
      <c r="ET36" s="305"/>
      <c r="EU36" s="305"/>
      <c r="EV36" s="305"/>
      <c r="EW36" s="305"/>
      <c r="EX36" s="305"/>
      <c r="EY36" s="305"/>
      <c r="EZ36" s="305"/>
      <c r="FA36" s="305"/>
      <c r="FB36" s="305"/>
      <c r="FC36" s="305"/>
      <c r="FD36" s="305"/>
      <c r="FE36" s="305"/>
      <c r="FF36" s="305"/>
      <c r="FG36" s="305"/>
      <c r="FH36" s="305"/>
      <c r="FI36" s="305"/>
      <c r="FJ36" s="305"/>
      <c r="FK36" s="306"/>
    </row>
    <row r="37" spans="1:167" s="38" customFormat="1" ht="22.5" customHeight="1">
      <c r="A37" s="307" t="s">
        <v>594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8"/>
      <c r="AE37" s="289"/>
      <c r="AF37" s="290"/>
      <c r="AG37" s="290"/>
      <c r="AH37" s="290"/>
      <c r="AI37" s="290"/>
      <c r="AJ37" s="290"/>
      <c r="AK37" s="290"/>
      <c r="AL37" s="290"/>
      <c r="AM37" s="290"/>
      <c r="AN37" s="291"/>
      <c r="AO37" s="311">
        <v>244</v>
      </c>
      <c r="AP37" s="312"/>
      <c r="AQ37" s="312"/>
      <c r="AR37" s="312"/>
      <c r="AS37" s="312"/>
      <c r="AT37" s="312"/>
      <c r="AU37" s="312"/>
      <c r="AV37" s="312"/>
      <c r="AW37" s="312"/>
      <c r="AX37" s="313"/>
      <c r="AY37" s="289" t="s">
        <v>15</v>
      </c>
      <c r="AZ37" s="290"/>
      <c r="BA37" s="290"/>
      <c r="BB37" s="290"/>
      <c r="BC37" s="290"/>
      <c r="BD37" s="290"/>
      <c r="BE37" s="290"/>
      <c r="BF37" s="290"/>
      <c r="BG37" s="290"/>
      <c r="BH37" s="291"/>
      <c r="BI37" s="289" t="s">
        <v>15</v>
      </c>
      <c r="BJ37" s="290"/>
      <c r="BK37" s="290"/>
      <c r="BL37" s="290"/>
      <c r="BM37" s="290"/>
      <c r="BN37" s="290"/>
      <c r="BO37" s="290"/>
      <c r="BP37" s="290"/>
      <c r="BQ37" s="290"/>
      <c r="BR37" s="291"/>
      <c r="BS37" s="292" t="s">
        <v>15</v>
      </c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4"/>
      <c r="CN37" s="289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1"/>
      <c r="DB37" s="292"/>
      <c r="DC37" s="293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4"/>
      <c r="DP37" s="295">
        <v>0</v>
      </c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/>
      <c r="EK37" s="296"/>
      <c r="EL37" s="296"/>
      <c r="EM37" s="297"/>
      <c r="EN37" s="298" t="s">
        <v>15</v>
      </c>
      <c r="EO37" s="299"/>
      <c r="EP37" s="299"/>
      <c r="EQ37" s="299"/>
      <c r="ER37" s="299"/>
      <c r="ES37" s="299"/>
      <c r="ET37" s="299"/>
      <c r="EU37" s="299"/>
      <c r="EV37" s="299"/>
      <c r="EW37" s="299"/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300"/>
    </row>
    <row r="38" spans="1:167" s="38" customFormat="1" ht="45.75" customHeight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10"/>
      <c r="AE38" s="279" t="s">
        <v>15</v>
      </c>
      <c r="AF38" s="280"/>
      <c r="AG38" s="280"/>
      <c r="AH38" s="280"/>
      <c r="AI38" s="280"/>
      <c r="AJ38" s="280"/>
      <c r="AK38" s="280"/>
      <c r="AL38" s="280"/>
      <c r="AM38" s="280"/>
      <c r="AN38" s="281"/>
      <c r="AO38" s="282" t="s">
        <v>15</v>
      </c>
      <c r="AP38" s="283"/>
      <c r="AQ38" s="283"/>
      <c r="AR38" s="283"/>
      <c r="AS38" s="283"/>
      <c r="AT38" s="283"/>
      <c r="AU38" s="283"/>
      <c r="AV38" s="283"/>
      <c r="AW38" s="283"/>
      <c r="AX38" s="284"/>
      <c r="AY38" s="285" t="s">
        <v>121</v>
      </c>
      <c r="AZ38" s="280"/>
      <c r="BA38" s="280"/>
      <c r="BB38" s="280"/>
      <c r="BC38" s="280"/>
      <c r="BD38" s="280"/>
      <c r="BE38" s="280"/>
      <c r="BF38" s="280"/>
      <c r="BG38" s="280"/>
      <c r="BH38" s="281"/>
      <c r="BI38" s="279"/>
      <c r="BJ38" s="280"/>
      <c r="BK38" s="280"/>
      <c r="BL38" s="280"/>
      <c r="BM38" s="280"/>
      <c r="BN38" s="280"/>
      <c r="BO38" s="280"/>
      <c r="BP38" s="280"/>
      <c r="BQ38" s="280"/>
      <c r="BR38" s="281"/>
      <c r="BS38" s="286">
        <v>8283670</v>
      </c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8"/>
      <c r="CN38" s="279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  <c r="DA38" s="281"/>
      <c r="DB38" s="286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8"/>
      <c r="DP38" s="301" t="s">
        <v>15</v>
      </c>
      <c r="DQ38" s="302"/>
      <c r="DR38" s="302"/>
      <c r="DS38" s="302"/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/>
      <c r="EJ38" s="302"/>
      <c r="EK38" s="302"/>
      <c r="EL38" s="302"/>
      <c r="EM38" s="303"/>
      <c r="EN38" s="304">
        <v>8283670</v>
      </c>
      <c r="EO38" s="305"/>
      <c r="EP38" s="305"/>
      <c r="EQ38" s="305"/>
      <c r="ER38" s="305"/>
      <c r="ES38" s="305"/>
      <c r="ET38" s="305"/>
      <c r="EU38" s="305"/>
      <c r="EV38" s="305"/>
      <c r="EW38" s="305"/>
      <c r="EX38" s="305"/>
      <c r="EY38" s="305"/>
      <c r="EZ38" s="305"/>
      <c r="FA38" s="305"/>
      <c r="FB38" s="305"/>
      <c r="FC38" s="305"/>
      <c r="FD38" s="305"/>
      <c r="FE38" s="305"/>
      <c r="FF38" s="305"/>
      <c r="FG38" s="305"/>
      <c r="FH38" s="305"/>
      <c r="FI38" s="305"/>
      <c r="FJ38" s="305"/>
      <c r="FK38" s="306"/>
    </row>
    <row r="39" spans="1:167" s="38" customFormat="1" ht="22.5" customHeight="1">
      <c r="A39" s="307" t="s">
        <v>595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8"/>
      <c r="AE39" s="289"/>
      <c r="AF39" s="290"/>
      <c r="AG39" s="290"/>
      <c r="AH39" s="290"/>
      <c r="AI39" s="290"/>
      <c r="AJ39" s="290"/>
      <c r="AK39" s="290"/>
      <c r="AL39" s="290"/>
      <c r="AM39" s="290"/>
      <c r="AN39" s="291"/>
      <c r="AO39" s="311">
        <v>244</v>
      </c>
      <c r="AP39" s="312"/>
      <c r="AQ39" s="312"/>
      <c r="AR39" s="312"/>
      <c r="AS39" s="312"/>
      <c r="AT39" s="312"/>
      <c r="AU39" s="312"/>
      <c r="AV39" s="312"/>
      <c r="AW39" s="312"/>
      <c r="AX39" s="313"/>
      <c r="AY39" s="289" t="s">
        <v>15</v>
      </c>
      <c r="AZ39" s="290"/>
      <c r="BA39" s="290"/>
      <c r="BB39" s="290"/>
      <c r="BC39" s="290"/>
      <c r="BD39" s="290"/>
      <c r="BE39" s="290"/>
      <c r="BF39" s="290"/>
      <c r="BG39" s="290"/>
      <c r="BH39" s="291"/>
      <c r="BI39" s="289" t="s">
        <v>15</v>
      </c>
      <c r="BJ39" s="290"/>
      <c r="BK39" s="290"/>
      <c r="BL39" s="290"/>
      <c r="BM39" s="290"/>
      <c r="BN39" s="290"/>
      <c r="BO39" s="290"/>
      <c r="BP39" s="290"/>
      <c r="BQ39" s="290"/>
      <c r="BR39" s="291"/>
      <c r="BS39" s="292" t="s">
        <v>15</v>
      </c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4"/>
      <c r="CN39" s="289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1"/>
      <c r="DB39" s="292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4"/>
      <c r="DP39" s="295">
        <v>13394000</v>
      </c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7"/>
      <c r="EN39" s="298" t="s">
        <v>15</v>
      </c>
      <c r="EO39" s="299"/>
      <c r="EP39" s="299"/>
      <c r="EQ39" s="299"/>
      <c r="ER39" s="299"/>
      <c r="ES39" s="299"/>
      <c r="ET39" s="299"/>
      <c r="EU39" s="299"/>
      <c r="EV39" s="299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300"/>
    </row>
    <row r="40" spans="1:167" s="38" customFormat="1" ht="28.5" customHeight="1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6"/>
      <c r="AE40" s="279" t="s">
        <v>15</v>
      </c>
      <c r="AF40" s="280"/>
      <c r="AG40" s="280"/>
      <c r="AH40" s="280"/>
      <c r="AI40" s="280"/>
      <c r="AJ40" s="280"/>
      <c r="AK40" s="280"/>
      <c r="AL40" s="280"/>
      <c r="AM40" s="280"/>
      <c r="AN40" s="281"/>
      <c r="AO40" s="282" t="s">
        <v>15</v>
      </c>
      <c r="AP40" s="283"/>
      <c r="AQ40" s="283"/>
      <c r="AR40" s="283"/>
      <c r="AS40" s="283"/>
      <c r="AT40" s="283"/>
      <c r="AU40" s="283"/>
      <c r="AV40" s="283"/>
      <c r="AW40" s="283"/>
      <c r="AX40" s="284"/>
      <c r="AY40" s="285" t="s">
        <v>117</v>
      </c>
      <c r="AZ40" s="280"/>
      <c r="BA40" s="280"/>
      <c r="BB40" s="280"/>
      <c r="BC40" s="280"/>
      <c r="BD40" s="280"/>
      <c r="BE40" s="280"/>
      <c r="BF40" s="280"/>
      <c r="BG40" s="280"/>
      <c r="BH40" s="281"/>
      <c r="BI40" s="279"/>
      <c r="BJ40" s="280"/>
      <c r="BK40" s="280"/>
      <c r="BL40" s="280"/>
      <c r="BM40" s="280"/>
      <c r="BN40" s="280"/>
      <c r="BO40" s="280"/>
      <c r="BP40" s="280"/>
      <c r="BQ40" s="280"/>
      <c r="BR40" s="281"/>
      <c r="BS40" s="286">
        <v>240000</v>
      </c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8"/>
      <c r="CN40" s="279"/>
      <c r="CO40" s="280"/>
      <c r="CP40" s="280"/>
      <c r="CQ40" s="280"/>
      <c r="CR40" s="280"/>
      <c r="CS40" s="280"/>
      <c r="CT40" s="280"/>
      <c r="CU40" s="280"/>
      <c r="CV40" s="280"/>
      <c r="CW40" s="280"/>
      <c r="CX40" s="280"/>
      <c r="CY40" s="280"/>
      <c r="CZ40" s="280"/>
      <c r="DA40" s="281"/>
      <c r="DB40" s="286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8"/>
      <c r="DP40" s="301" t="s">
        <v>15</v>
      </c>
      <c r="DQ40" s="302"/>
      <c r="DR40" s="302"/>
      <c r="DS40" s="302"/>
      <c r="DT40" s="302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/>
      <c r="EJ40" s="302"/>
      <c r="EK40" s="302"/>
      <c r="EL40" s="302"/>
      <c r="EM40" s="303"/>
      <c r="EN40" s="304">
        <v>240000</v>
      </c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6"/>
    </row>
    <row r="41" spans="1:167" s="38" customFormat="1" ht="28.5" customHeight="1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6"/>
      <c r="AE41" s="279" t="s">
        <v>15</v>
      </c>
      <c r="AF41" s="280"/>
      <c r="AG41" s="280"/>
      <c r="AH41" s="280"/>
      <c r="AI41" s="280"/>
      <c r="AJ41" s="280"/>
      <c r="AK41" s="280"/>
      <c r="AL41" s="280"/>
      <c r="AM41" s="280"/>
      <c r="AN41" s="281"/>
      <c r="AO41" s="282" t="s">
        <v>15</v>
      </c>
      <c r="AP41" s="283"/>
      <c r="AQ41" s="283"/>
      <c r="AR41" s="283"/>
      <c r="AS41" s="283"/>
      <c r="AT41" s="283"/>
      <c r="AU41" s="283"/>
      <c r="AV41" s="283"/>
      <c r="AW41" s="283"/>
      <c r="AX41" s="284"/>
      <c r="AY41" s="285" t="s">
        <v>120</v>
      </c>
      <c r="AZ41" s="280"/>
      <c r="BA41" s="280"/>
      <c r="BB41" s="280"/>
      <c r="BC41" s="280"/>
      <c r="BD41" s="280"/>
      <c r="BE41" s="280"/>
      <c r="BF41" s="280"/>
      <c r="BG41" s="280"/>
      <c r="BH41" s="281"/>
      <c r="BI41" s="279"/>
      <c r="BJ41" s="280"/>
      <c r="BK41" s="280"/>
      <c r="BL41" s="280"/>
      <c r="BM41" s="280"/>
      <c r="BN41" s="280"/>
      <c r="BO41" s="280"/>
      <c r="BP41" s="280"/>
      <c r="BQ41" s="280"/>
      <c r="BR41" s="281"/>
      <c r="BS41" s="286">
        <v>3900000</v>
      </c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8"/>
      <c r="CN41" s="279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1"/>
      <c r="DB41" s="286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8"/>
      <c r="DP41" s="301" t="s">
        <v>15</v>
      </c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3"/>
      <c r="EN41" s="304">
        <v>3900000</v>
      </c>
      <c r="EO41" s="305"/>
      <c r="EP41" s="305"/>
      <c r="EQ41" s="305"/>
      <c r="ER41" s="305"/>
      <c r="ES41" s="305"/>
      <c r="ET41" s="305"/>
      <c r="EU41" s="305"/>
      <c r="EV41" s="305"/>
      <c r="EW41" s="305"/>
      <c r="EX41" s="305"/>
      <c r="EY41" s="305"/>
      <c r="EZ41" s="305"/>
      <c r="FA41" s="305"/>
      <c r="FB41" s="305"/>
      <c r="FC41" s="305"/>
      <c r="FD41" s="305"/>
      <c r="FE41" s="305"/>
      <c r="FF41" s="305"/>
      <c r="FG41" s="305"/>
      <c r="FH41" s="305"/>
      <c r="FI41" s="305"/>
      <c r="FJ41" s="305"/>
      <c r="FK41" s="306"/>
    </row>
    <row r="42" spans="1:167" s="38" customFormat="1" ht="28.5" customHeight="1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6"/>
      <c r="AE42" s="279" t="s">
        <v>15</v>
      </c>
      <c r="AF42" s="280"/>
      <c r="AG42" s="280"/>
      <c r="AH42" s="280"/>
      <c r="AI42" s="280"/>
      <c r="AJ42" s="280"/>
      <c r="AK42" s="280"/>
      <c r="AL42" s="280"/>
      <c r="AM42" s="280"/>
      <c r="AN42" s="281"/>
      <c r="AO42" s="282" t="s">
        <v>15</v>
      </c>
      <c r="AP42" s="283"/>
      <c r="AQ42" s="283"/>
      <c r="AR42" s="283"/>
      <c r="AS42" s="283"/>
      <c r="AT42" s="283"/>
      <c r="AU42" s="283"/>
      <c r="AV42" s="283"/>
      <c r="AW42" s="283"/>
      <c r="AX42" s="284"/>
      <c r="AY42" s="285" t="s">
        <v>121</v>
      </c>
      <c r="AZ42" s="280"/>
      <c r="BA42" s="280"/>
      <c r="BB42" s="280"/>
      <c r="BC42" s="280"/>
      <c r="BD42" s="280"/>
      <c r="BE42" s="280"/>
      <c r="BF42" s="280"/>
      <c r="BG42" s="280"/>
      <c r="BH42" s="281"/>
      <c r="BI42" s="279"/>
      <c r="BJ42" s="280"/>
      <c r="BK42" s="280"/>
      <c r="BL42" s="280"/>
      <c r="BM42" s="280"/>
      <c r="BN42" s="280"/>
      <c r="BO42" s="280"/>
      <c r="BP42" s="280"/>
      <c r="BQ42" s="280"/>
      <c r="BR42" s="281"/>
      <c r="BS42" s="286">
        <v>4300000</v>
      </c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8"/>
      <c r="CN42" s="279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1"/>
      <c r="DB42" s="286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8"/>
      <c r="DP42" s="301" t="s">
        <v>15</v>
      </c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3"/>
      <c r="EN42" s="304">
        <v>4300000</v>
      </c>
      <c r="EO42" s="305"/>
      <c r="EP42" s="305"/>
      <c r="EQ42" s="305"/>
      <c r="ER42" s="305"/>
      <c r="ES42" s="305"/>
      <c r="ET42" s="305"/>
      <c r="EU42" s="305"/>
      <c r="EV42" s="305"/>
      <c r="EW42" s="305"/>
      <c r="EX42" s="305"/>
      <c r="EY42" s="305"/>
      <c r="EZ42" s="305"/>
      <c r="FA42" s="305"/>
      <c r="FB42" s="305"/>
      <c r="FC42" s="305"/>
      <c r="FD42" s="305"/>
      <c r="FE42" s="305"/>
      <c r="FF42" s="305"/>
      <c r="FG42" s="305"/>
      <c r="FH42" s="305"/>
      <c r="FI42" s="305"/>
      <c r="FJ42" s="305"/>
      <c r="FK42" s="306"/>
    </row>
    <row r="43" spans="1:167" s="38" customFormat="1" ht="28.5" customHeight="1">
      <c r="A43" s="405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6"/>
      <c r="AE43" s="279" t="s">
        <v>15</v>
      </c>
      <c r="AF43" s="280"/>
      <c r="AG43" s="280"/>
      <c r="AH43" s="280"/>
      <c r="AI43" s="280"/>
      <c r="AJ43" s="280"/>
      <c r="AK43" s="280"/>
      <c r="AL43" s="280"/>
      <c r="AM43" s="280"/>
      <c r="AN43" s="281"/>
      <c r="AO43" s="282" t="s">
        <v>15</v>
      </c>
      <c r="AP43" s="283"/>
      <c r="AQ43" s="283"/>
      <c r="AR43" s="283"/>
      <c r="AS43" s="283"/>
      <c r="AT43" s="283"/>
      <c r="AU43" s="283"/>
      <c r="AV43" s="283"/>
      <c r="AW43" s="283"/>
      <c r="AX43" s="284"/>
      <c r="AY43" s="285" t="s">
        <v>123</v>
      </c>
      <c r="AZ43" s="280"/>
      <c r="BA43" s="280"/>
      <c r="BB43" s="280"/>
      <c r="BC43" s="280"/>
      <c r="BD43" s="280"/>
      <c r="BE43" s="280"/>
      <c r="BF43" s="280"/>
      <c r="BG43" s="280"/>
      <c r="BH43" s="281"/>
      <c r="BI43" s="279"/>
      <c r="BJ43" s="280"/>
      <c r="BK43" s="280"/>
      <c r="BL43" s="280"/>
      <c r="BM43" s="280"/>
      <c r="BN43" s="280"/>
      <c r="BO43" s="280"/>
      <c r="BP43" s="280"/>
      <c r="BQ43" s="280"/>
      <c r="BR43" s="281"/>
      <c r="BS43" s="286">
        <v>1880455.22</v>
      </c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8"/>
      <c r="CN43" s="279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1"/>
      <c r="DB43" s="286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8"/>
      <c r="DP43" s="301" t="s">
        <v>15</v>
      </c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3"/>
      <c r="EN43" s="304">
        <v>1880455.22</v>
      </c>
      <c r="EO43" s="305"/>
      <c r="EP43" s="305"/>
      <c r="EQ43" s="305"/>
      <c r="ER43" s="305"/>
      <c r="ES43" s="305"/>
      <c r="ET43" s="305"/>
      <c r="EU43" s="305"/>
      <c r="EV43" s="305"/>
      <c r="EW43" s="305"/>
      <c r="EX43" s="305"/>
      <c r="EY43" s="305"/>
      <c r="EZ43" s="305"/>
      <c r="FA43" s="305"/>
      <c r="FB43" s="305"/>
      <c r="FC43" s="305"/>
      <c r="FD43" s="305"/>
      <c r="FE43" s="305"/>
      <c r="FF43" s="305"/>
      <c r="FG43" s="305"/>
      <c r="FH43" s="305"/>
      <c r="FI43" s="305"/>
      <c r="FJ43" s="305"/>
      <c r="FK43" s="306"/>
    </row>
    <row r="44" spans="1:167" s="38" customFormat="1" ht="28.5" customHeight="1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10"/>
      <c r="AE44" s="279" t="s">
        <v>15</v>
      </c>
      <c r="AF44" s="280"/>
      <c r="AG44" s="280"/>
      <c r="AH44" s="280"/>
      <c r="AI44" s="280"/>
      <c r="AJ44" s="280"/>
      <c r="AK44" s="280"/>
      <c r="AL44" s="280"/>
      <c r="AM44" s="280"/>
      <c r="AN44" s="281"/>
      <c r="AO44" s="282" t="s">
        <v>15</v>
      </c>
      <c r="AP44" s="283"/>
      <c r="AQ44" s="283"/>
      <c r="AR44" s="283"/>
      <c r="AS44" s="283"/>
      <c r="AT44" s="283"/>
      <c r="AU44" s="283"/>
      <c r="AV44" s="283"/>
      <c r="AW44" s="283"/>
      <c r="AX44" s="284"/>
      <c r="AY44" s="285" t="s">
        <v>122</v>
      </c>
      <c r="AZ44" s="280"/>
      <c r="BA44" s="280"/>
      <c r="BB44" s="280"/>
      <c r="BC44" s="280"/>
      <c r="BD44" s="280"/>
      <c r="BE44" s="280"/>
      <c r="BF44" s="280"/>
      <c r="BG44" s="280"/>
      <c r="BH44" s="281"/>
      <c r="BI44" s="279"/>
      <c r="BJ44" s="280"/>
      <c r="BK44" s="280"/>
      <c r="BL44" s="280"/>
      <c r="BM44" s="280"/>
      <c r="BN44" s="280"/>
      <c r="BO44" s="280"/>
      <c r="BP44" s="280"/>
      <c r="BQ44" s="280"/>
      <c r="BR44" s="281"/>
      <c r="BS44" s="286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8"/>
      <c r="CN44" s="279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1"/>
      <c r="DB44" s="286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8"/>
      <c r="DP44" s="301" t="s">
        <v>15</v>
      </c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3"/>
      <c r="EN44" s="304">
        <v>13394000</v>
      </c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  <c r="FH44" s="305"/>
      <c r="FI44" s="305"/>
      <c r="FJ44" s="305"/>
      <c r="FK44" s="306"/>
    </row>
    <row r="45" spans="1:167" s="38" customFormat="1" ht="28.5" customHeight="1">
      <c r="A45" s="307" t="s">
        <v>597</v>
      </c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8"/>
      <c r="AE45" s="289"/>
      <c r="AF45" s="290"/>
      <c r="AG45" s="290"/>
      <c r="AH45" s="290"/>
      <c r="AI45" s="290"/>
      <c r="AJ45" s="290"/>
      <c r="AK45" s="290"/>
      <c r="AL45" s="290"/>
      <c r="AM45" s="290"/>
      <c r="AN45" s="291"/>
      <c r="AO45" s="311">
        <v>244</v>
      </c>
      <c r="AP45" s="312"/>
      <c r="AQ45" s="312"/>
      <c r="AR45" s="312"/>
      <c r="AS45" s="312"/>
      <c r="AT45" s="312"/>
      <c r="AU45" s="312"/>
      <c r="AV45" s="312"/>
      <c r="AW45" s="312"/>
      <c r="AX45" s="313"/>
      <c r="AY45" s="289" t="s">
        <v>216</v>
      </c>
      <c r="AZ45" s="290"/>
      <c r="BA45" s="290"/>
      <c r="BB45" s="290"/>
      <c r="BC45" s="290"/>
      <c r="BD45" s="290"/>
      <c r="BE45" s="290"/>
      <c r="BF45" s="290"/>
      <c r="BG45" s="290"/>
      <c r="BH45" s="291"/>
      <c r="BI45" s="289" t="s">
        <v>216</v>
      </c>
      <c r="BJ45" s="290"/>
      <c r="BK45" s="290"/>
      <c r="BL45" s="290"/>
      <c r="BM45" s="290"/>
      <c r="BN45" s="290"/>
      <c r="BO45" s="290"/>
      <c r="BP45" s="290"/>
      <c r="BQ45" s="290"/>
      <c r="BR45" s="291"/>
      <c r="BS45" s="292" t="s">
        <v>216</v>
      </c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4"/>
      <c r="CN45" s="289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1"/>
      <c r="DB45" s="292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4"/>
      <c r="DP45" s="295">
        <v>2000000</v>
      </c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7"/>
      <c r="EN45" s="298"/>
      <c r="EO45" s="299"/>
      <c r="EP45" s="299"/>
      <c r="EQ45" s="299"/>
      <c r="ER45" s="299"/>
      <c r="ES45" s="299"/>
      <c r="ET45" s="299"/>
      <c r="EU45" s="299"/>
      <c r="EV45" s="299"/>
      <c r="EW45" s="299"/>
      <c r="EX45" s="299"/>
      <c r="EY45" s="299"/>
      <c r="EZ45" s="299"/>
      <c r="FA45" s="299"/>
      <c r="FB45" s="299"/>
      <c r="FC45" s="299"/>
      <c r="FD45" s="299"/>
      <c r="FE45" s="299"/>
      <c r="FF45" s="299"/>
      <c r="FG45" s="299"/>
      <c r="FH45" s="299"/>
      <c r="FI45" s="299"/>
      <c r="FJ45" s="299"/>
      <c r="FK45" s="300"/>
    </row>
    <row r="46" spans="1:167" s="38" customFormat="1" ht="28.5" customHeight="1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10"/>
      <c r="AE46" s="279" t="s">
        <v>216</v>
      </c>
      <c r="AF46" s="280"/>
      <c r="AG46" s="280"/>
      <c r="AH46" s="280"/>
      <c r="AI46" s="280"/>
      <c r="AJ46" s="280"/>
      <c r="AK46" s="280"/>
      <c r="AL46" s="280"/>
      <c r="AM46" s="280"/>
      <c r="AN46" s="281"/>
      <c r="AO46" s="282" t="s">
        <v>216</v>
      </c>
      <c r="AP46" s="283"/>
      <c r="AQ46" s="283"/>
      <c r="AR46" s="283"/>
      <c r="AS46" s="283"/>
      <c r="AT46" s="283"/>
      <c r="AU46" s="283"/>
      <c r="AV46" s="283"/>
      <c r="AW46" s="283"/>
      <c r="AX46" s="284"/>
      <c r="AY46" s="285" t="s">
        <v>122</v>
      </c>
      <c r="AZ46" s="280"/>
      <c r="BA46" s="280"/>
      <c r="BB46" s="280"/>
      <c r="BC46" s="280"/>
      <c r="BD46" s="280"/>
      <c r="BE46" s="280"/>
      <c r="BF46" s="280"/>
      <c r="BG46" s="280"/>
      <c r="BH46" s="281"/>
      <c r="BI46" s="279"/>
      <c r="BJ46" s="280"/>
      <c r="BK46" s="280"/>
      <c r="BL46" s="280"/>
      <c r="BM46" s="280"/>
      <c r="BN46" s="280"/>
      <c r="BO46" s="280"/>
      <c r="BP46" s="280"/>
      <c r="BQ46" s="280"/>
      <c r="BR46" s="281"/>
      <c r="BS46" s="286">
        <v>0</v>
      </c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8"/>
      <c r="CN46" s="279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1"/>
      <c r="DB46" s="286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8"/>
      <c r="DP46" s="301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3"/>
      <c r="EN46" s="304">
        <v>2000000</v>
      </c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6"/>
    </row>
    <row r="47" spans="1:167" s="38" customFormat="1" ht="28.5" customHeight="1">
      <c r="A47" s="307" t="s">
        <v>601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8"/>
      <c r="AE47" s="289"/>
      <c r="AF47" s="290"/>
      <c r="AG47" s="290"/>
      <c r="AH47" s="290"/>
      <c r="AI47" s="290"/>
      <c r="AJ47" s="290"/>
      <c r="AK47" s="290"/>
      <c r="AL47" s="290"/>
      <c r="AM47" s="290"/>
      <c r="AN47" s="291"/>
      <c r="AO47" s="311">
        <v>244</v>
      </c>
      <c r="AP47" s="312"/>
      <c r="AQ47" s="312"/>
      <c r="AR47" s="312"/>
      <c r="AS47" s="312"/>
      <c r="AT47" s="312"/>
      <c r="AU47" s="312"/>
      <c r="AV47" s="312"/>
      <c r="AW47" s="312"/>
      <c r="AX47" s="313"/>
      <c r="AY47" s="289"/>
      <c r="AZ47" s="290"/>
      <c r="BA47" s="290"/>
      <c r="BB47" s="290"/>
      <c r="BC47" s="290"/>
      <c r="BD47" s="290"/>
      <c r="BE47" s="290"/>
      <c r="BF47" s="290"/>
      <c r="BG47" s="290"/>
      <c r="BH47" s="291"/>
      <c r="BI47" s="289"/>
      <c r="BJ47" s="290"/>
      <c r="BK47" s="290"/>
      <c r="BL47" s="290"/>
      <c r="BM47" s="290"/>
      <c r="BN47" s="290"/>
      <c r="BO47" s="290"/>
      <c r="BP47" s="290"/>
      <c r="BQ47" s="290"/>
      <c r="BR47" s="291"/>
      <c r="BS47" s="292"/>
      <c r="BT47" s="293"/>
      <c r="BU47" s="293"/>
      <c r="BV47" s="293"/>
      <c r="BW47" s="293"/>
      <c r="BX47" s="293"/>
      <c r="BY47" s="293"/>
      <c r="BZ47" s="293"/>
      <c r="CA47" s="293"/>
      <c r="CB47" s="293"/>
      <c r="CC47" s="293"/>
      <c r="CD47" s="293"/>
      <c r="CE47" s="293"/>
      <c r="CF47" s="293"/>
      <c r="CG47" s="293"/>
      <c r="CH47" s="293"/>
      <c r="CI47" s="293"/>
      <c r="CJ47" s="293"/>
      <c r="CK47" s="293"/>
      <c r="CL47" s="293"/>
      <c r="CM47" s="294"/>
      <c r="CN47" s="289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1"/>
      <c r="DB47" s="292"/>
      <c r="DC47" s="293"/>
      <c r="DD47" s="293"/>
      <c r="DE47" s="293"/>
      <c r="DF47" s="293"/>
      <c r="DG47" s="293"/>
      <c r="DH47" s="293"/>
      <c r="DI47" s="293"/>
      <c r="DJ47" s="293"/>
      <c r="DK47" s="293"/>
      <c r="DL47" s="293"/>
      <c r="DM47" s="293"/>
      <c r="DN47" s="293"/>
      <c r="DO47" s="294"/>
      <c r="DP47" s="295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7"/>
      <c r="EN47" s="298"/>
      <c r="EO47" s="299"/>
      <c r="EP47" s="299"/>
      <c r="EQ47" s="299"/>
      <c r="ER47" s="299"/>
      <c r="ES47" s="299"/>
      <c r="ET47" s="299"/>
      <c r="EU47" s="299"/>
      <c r="EV47" s="299"/>
      <c r="EW47" s="299"/>
      <c r="EX47" s="299"/>
      <c r="EY47" s="299"/>
      <c r="EZ47" s="299"/>
      <c r="FA47" s="299"/>
      <c r="FB47" s="299"/>
      <c r="FC47" s="299"/>
      <c r="FD47" s="299"/>
      <c r="FE47" s="299"/>
      <c r="FF47" s="299"/>
      <c r="FG47" s="299"/>
      <c r="FH47" s="299"/>
      <c r="FI47" s="299"/>
      <c r="FJ47" s="299"/>
      <c r="FK47" s="300"/>
    </row>
    <row r="48" spans="1:167" s="38" customFormat="1" ht="28.5" customHeight="1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10"/>
      <c r="AE48" s="279" t="s">
        <v>216</v>
      </c>
      <c r="AF48" s="280"/>
      <c r="AG48" s="280"/>
      <c r="AH48" s="280"/>
      <c r="AI48" s="280"/>
      <c r="AJ48" s="280"/>
      <c r="AK48" s="280"/>
      <c r="AL48" s="280"/>
      <c r="AM48" s="280"/>
      <c r="AN48" s="281"/>
      <c r="AO48" s="282" t="s">
        <v>216</v>
      </c>
      <c r="AP48" s="283"/>
      <c r="AQ48" s="283"/>
      <c r="AR48" s="283"/>
      <c r="AS48" s="283"/>
      <c r="AT48" s="283"/>
      <c r="AU48" s="283"/>
      <c r="AV48" s="283"/>
      <c r="AW48" s="283"/>
      <c r="AX48" s="284"/>
      <c r="AY48" s="285" t="s">
        <v>123</v>
      </c>
      <c r="AZ48" s="280"/>
      <c r="BA48" s="280"/>
      <c r="BB48" s="280"/>
      <c r="BC48" s="280"/>
      <c r="BD48" s="280"/>
      <c r="BE48" s="280"/>
      <c r="BF48" s="280"/>
      <c r="BG48" s="280"/>
      <c r="BH48" s="281"/>
      <c r="BI48" s="279"/>
      <c r="BJ48" s="280"/>
      <c r="BK48" s="280"/>
      <c r="BL48" s="280"/>
      <c r="BM48" s="280"/>
      <c r="BN48" s="280"/>
      <c r="BO48" s="280"/>
      <c r="BP48" s="280"/>
      <c r="BQ48" s="280"/>
      <c r="BR48" s="281"/>
      <c r="BS48" s="286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8"/>
      <c r="CN48" s="279"/>
      <c r="CO48" s="280"/>
      <c r="CP48" s="280"/>
      <c r="CQ48" s="280"/>
      <c r="CR48" s="280"/>
      <c r="CS48" s="280"/>
      <c r="CT48" s="280"/>
      <c r="CU48" s="280"/>
      <c r="CV48" s="280"/>
      <c r="CW48" s="280"/>
      <c r="CX48" s="280"/>
      <c r="CY48" s="280"/>
      <c r="CZ48" s="280"/>
      <c r="DA48" s="281"/>
      <c r="DB48" s="286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8"/>
      <c r="DP48" s="301">
        <v>700000</v>
      </c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3"/>
      <c r="EN48" s="304">
        <v>700000</v>
      </c>
      <c r="EO48" s="305"/>
      <c r="EP48" s="305"/>
      <c r="EQ48" s="305"/>
      <c r="ER48" s="305"/>
      <c r="ES48" s="305"/>
      <c r="ET48" s="305"/>
      <c r="EU48" s="305"/>
      <c r="EV48" s="305"/>
      <c r="EW48" s="305"/>
      <c r="EX48" s="305"/>
      <c r="EY48" s="305"/>
      <c r="EZ48" s="305"/>
      <c r="FA48" s="305"/>
      <c r="FB48" s="305"/>
      <c r="FC48" s="305"/>
      <c r="FD48" s="305"/>
      <c r="FE48" s="305"/>
      <c r="FF48" s="305"/>
      <c r="FG48" s="305"/>
      <c r="FH48" s="305"/>
      <c r="FI48" s="305"/>
      <c r="FJ48" s="305"/>
      <c r="FK48" s="306"/>
    </row>
    <row r="49" spans="1:167" s="38" customFormat="1" ht="28.5" customHeight="1">
      <c r="A49" s="307" t="s">
        <v>602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8"/>
      <c r="AE49" s="289"/>
      <c r="AF49" s="290"/>
      <c r="AG49" s="290"/>
      <c r="AH49" s="290"/>
      <c r="AI49" s="290"/>
      <c r="AJ49" s="290"/>
      <c r="AK49" s="290"/>
      <c r="AL49" s="290"/>
      <c r="AM49" s="290"/>
      <c r="AN49" s="291"/>
      <c r="AO49" s="311">
        <v>244</v>
      </c>
      <c r="AP49" s="312"/>
      <c r="AQ49" s="312"/>
      <c r="AR49" s="312"/>
      <c r="AS49" s="312"/>
      <c r="AT49" s="312"/>
      <c r="AU49" s="312"/>
      <c r="AV49" s="312"/>
      <c r="AW49" s="312"/>
      <c r="AX49" s="313"/>
      <c r="AY49" s="289"/>
      <c r="AZ49" s="290"/>
      <c r="BA49" s="290"/>
      <c r="BB49" s="290"/>
      <c r="BC49" s="290"/>
      <c r="BD49" s="290"/>
      <c r="BE49" s="290"/>
      <c r="BF49" s="290"/>
      <c r="BG49" s="290"/>
      <c r="BH49" s="291"/>
      <c r="BI49" s="289"/>
      <c r="BJ49" s="290"/>
      <c r="BK49" s="290"/>
      <c r="BL49" s="290"/>
      <c r="BM49" s="290"/>
      <c r="BN49" s="290"/>
      <c r="BO49" s="290"/>
      <c r="BP49" s="290"/>
      <c r="BQ49" s="290"/>
      <c r="BR49" s="291"/>
      <c r="BS49" s="292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93"/>
      <c r="CG49" s="293"/>
      <c r="CH49" s="293"/>
      <c r="CI49" s="293"/>
      <c r="CJ49" s="293"/>
      <c r="CK49" s="293"/>
      <c r="CL49" s="293"/>
      <c r="CM49" s="294"/>
      <c r="CN49" s="289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  <c r="CY49" s="290"/>
      <c r="CZ49" s="290"/>
      <c r="DA49" s="291"/>
      <c r="DB49" s="292"/>
      <c r="DC49" s="293"/>
      <c r="DD49" s="293"/>
      <c r="DE49" s="293"/>
      <c r="DF49" s="293"/>
      <c r="DG49" s="293"/>
      <c r="DH49" s="293"/>
      <c r="DI49" s="293"/>
      <c r="DJ49" s="293"/>
      <c r="DK49" s="293"/>
      <c r="DL49" s="293"/>
      <c r="DM49" s="293"/>
      <c r="DN49" s="293"/>
      <c r="DO49" s="294"/>
      <c r="DP49" s="295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296"/>
      <c r="EE49" s="296"/>
      <c r="EF49" s="296"/>
      <c r="EG49" s="296"/>
      <c r="EH49" s="296"/>
      <c r="EI49" s="296"/>
      <c r="EJ49" s="296"/>
      <c r="EK49" s="296"/>
      <c r="EL49" s="296"/>
      <c r="EM49" s="297"/>
      <c r="EN49" s="298"/>
      <c r="EO49" s="299"/>
      <c r="EP49" s="299"/>
      <c r="EQ49" s="299"/>
      <c r="ER49" s="299"/>
      <c r="ES49" s="299"/>
      <c r="ET49" s="299"/>
      <c r="EU49" s="299"/>
      <c r="EV49" s="299"/>
      <c r="EW49" s="299"/>
      <c r="EX49" s="299"/>
      <c r="EY49" s="299"/>
      <c r="EZ49" s="299"/>
      <c r="FA49" s="299"/>
      <c r="FB49" s="299"/>
      <c r="FC49" s="299"/>
      <c r="FD49" s="299"/>
      <c r="FE49" s="299"/>
      <c r="FF49" s="299"/>
      <c r="FG49" s="299"/>
      <c r="FH49" s="299"/>
      <c r="FI49" s="299"/>
      <c r="FJ49" s="299"/>
      <c r="FK49" s="300"/>
    </row>
    <row r="50" spans="1:167" s="38" customFormat="1" ht="28.5" customHeight="1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10"/>
      <c r="AE50" s="279" t="s">
        <v>216</v>
      </c>
      <c r="AF50" s="280"/>
      <c r="AG50" s="280"/>
      <c r="AH50" s="280"/>
      <c r="AI50" s="280"/>
      <c r="AJ50" s="280"/>
      <c r="AK50" s="280"/>
      <c r="AL50" s="280"/>
      <c r="AM50" s="280"/>
      <c r="AN50" s="281"/>
      <c r="AO50" s="282" t="s">
        <v>216</v>
      </c>
      <c r="AP50" s="283"/>
      <c r="AQ50" s="283"/>
      <c r="AR50" s="283"/>
      <c r="AS50" s="283"/>
      <c r="AT50" s="283"/>
      <c r="AU50" s="283"/>
      <c r="AV50" s="283"/>
      <c r="AW50" s="283"/>
      <c r="AX50" s="284"/>
      <c r="AY50" s="285" t="s">
        <v>121</v>
      </c>
      <c r="AZ50" s="280"/>
      <c r="BA50" s="280"/>
      <c r="BB50" s="280"/>
      <c r="BC50" s="280"/>
      <c r="BD50" s="280"/>
      <c r="BE50" s="280"/>
      <c r="BF50" s="280"/>
      <c r="BG50" s="280"/>
      <c r="BH50" s="281"/>
      <c r="BI50" s="279"/>
      <c r="BJ50" s="280"/>
      <c r="BK50" s="280"/>
      <c r="BL50" s="280"/>
      <c r="BM50" s="280"/>
      <c r="BN50" s="280"/>
      <c r="BO50" s="280"/>
      <c r="BP50" s="280"/>
      <c r="BQ50" s="280"/>
      <c r="BR50" s="281"/>
      <c r="BS50" s="286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8"/>
      <c r="CN50" s="279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1"/>
      <c r="DB50" s="286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7"/>
      <c r="DN50" s="287"/>
      <c r="DO50" s="288"/>
      <c r="DP50" s="301">
        <v>386600</v>
      </c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3"/>
      <c r="EN50" s="304">
        <v>386600</v>
      </c>
      <c r="EO50" s="305"/>
      <c r="EP50" s="305"/>
      <c r="EQ50" s="305"/>
      <c r="ER50" s="305"/>
      <c r="ES50" s="305"/>
      <c r="ET50" s="305"/>
      <c r="EU50" s="305"/>
      <c r="EV50" s="305"/>
      <c r="EW50" s="305"/>
      <c r="EX50" s="305"/>
      <c r="EY50" s="305"/>
      <c r="EZ50" s="305"/>
      <c r="FA50" s="305"/>
      <c r="FB50" s="305"/>
      <c r="FC50" s="305"/>
      <c r="FD50" s="305"/>
      <c r="FE50" s="305"/>
      <c r="FF50" s="305"/>
      <c r="FG50" s="305"/>
      <c r="FH50" s="305"/>
      <c r="FI50" s="305"/>
      <c r="FJ50" s="305"/>
      <c r="FK50" s="306"/>
    </row>
    <row r="51" spans="1:167" s="38" customFormat="1" ht="28.5" customHeight="1">
      <c r="A51" s="307" t="s">
        <v>603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8"/>
      <c r="AE51" s="289"/>
      <c r="AF51" s="290"/>
      <c r="AG51" s="290"/>
      <c r="AH51" s="290"/>
      <c r="AI51" s="290"/>
      <c r="AJ51" s="290"/>
      <c r="AK51" s="290"/>
      <c r="AL51" s="290"/>
      <c r="AM51" s="290"/>
      <c r="AN51" s="291"/>
      <c r="AO51" s="311">
        <v>244</v>
      </c>
      <c r="AP51" s="312"/>
      <c r="AQ51" s="312"/>
      <c r="AR51" s="312"/>
      <c r="AS51" s="312"/>
      <c r="AT51" s="312"/>
      <c r="AU51" s="312"/>
      <c r="AV51" s="312"/>
      <c r="AW51" s="312"/>
      <c r="AX51" s="313"/>
      <c r="AY51" s="289"/>
      <c r="AZ51" s="290"/>
      <c r="BA51" s="290"/>
      <c r="BB51" s="290"/>
      <c r="BC51" s="290"/>
      <c r="BD51" s="290"/>
      <c r="BE51" s="290"/>
      <c r="BF51" s="290"/>
      <c r="BG51" s="290"/>
      <c r="BH51" s="291"/>
      <c r="BI51" s="289"/>
      <c r="BJ51" s="290"/>
      <c r="BK51" s="290"/>
      <c r="BL51" s="290"/>
      <c r="BM51" s="290"/>
      <c r="BN51" s="290"/>
      <c r="BO51" s="290"/>
      <c r="BP51" s="290"/>
      <c r="BQ51" s="290"/>
      <c r="BR51" s="291"/>
      <c r="BS51" s="292"/>
      <c r="BT51" s="293"/>
      <c r="BU51" s="293"/>
      <c r="BV51" s="293"/>
      <c r="BW51" s="293"/>
      <c r="BX51" s="293"/>
      <c r="BY51" s="293"/>
      <c r="BZ51" s="293"/>
      <c r="CA51" s="293"/>
      <c r="CB51" s="293"/>
      <c r="CC51" s="293"/>
      <c r="CD51" s="293"/>
      <c r="CE51" s="293"/>
      <c r="CF51" s="293"/>
      <c r="CG51" s="293"/>
      <c r="CH51" s="293"/>
      <c r="CI51" s="293"/>
      <c r="CJ51" s="293"/>
      <c r="CK51" s="293"/>
      <c r="CL51" s="293"/>
      <c r="CM51" s="294"/>
      <c r="CN51" s="289"/>
      <c r="CO51" s="290"/>
      <c r="CP51" s="290"/>
      <c r="CQ51" s="290"/>
      <c r="CR51" s="290"/>
      <c r="CS51" s="290"/>
      <c r="CT51" s="290"/>
      <c r="CU51" s="290"/>
      <c r="CV51" s="290"/>
      <c r="CW51" s="290"/>
      <c r="CX51" s="290"/>
      <c r="CY51" s="290"/>
      <c r="CZ51" s="290"/>
      <c r="DA51" s="291"/>
      <c r="DB51" s="292"/>
      <c r="DC51" s="293"/>
      <c r="DD51" s="293"/>
      <c r="DE51" s="293"/>
      <c r="DF51" s="293"/>
      <c r="DG51" s="293"/>
      <c r="DH51" s="293"/>
      <c r="DI51" s="293"/>
      <c r="DJ51" s="293"/>
      <c r="DK51" s="293"/>
      <c r="DL51" s="293"/>
      <c r="DM51" s="293"/>
      <c r="DN51" s="293"/>
      <c r="DO51" s="294"/>
      <c r="DP51" s="295"/>
      <c r="DQ51" s="296"/>
      <c r="DR51" s="296"/>
      <c r="DS51" s="296"/>
      <c r="DT51" s="296"/>
      <c r="DU51" s="296"/>
      <c r="DV51" s="296"/>
      <c r="DW51" s="296"/>
      <c r="DX51" s="296"/>
      <c r="DY51" s="296"/>
      <c r="DZ51" s="296"/>
      <c r="EA51" s="296"/>
      <c r="EB51" s="296"/>
      <c r="EC51" s="296"/>
      <c r="ED51" s="296"/>
      <c r="EE51" s="296"/>
      <c r="EF51" s="296"/>
      <c r="EG51" s="296"/>
      <c r="EH51" s="296"/>
      <c r="EI51" s="296"/>
      <c r="EJ51" s="296"/>
      <c r="EK51" s="296"/>
      <c r="EL51" s="296"/>
      <c r="EM51" s="297"/>
      <c r="EN51" s="298"/>
      <c r="EO51" s="299"/>
      <c r="EP51" s="299"/>
      <c r="EQ51" s="299"/>
      <c r="ER51" s="299"/>
      <c r="ES51" s="299"/>
      <c r="ET51" s="299"/>
      <c r="EU51" s="299"/>
      <c r="EV51" s="299"/>
      <c r="EW51" s="299"/>
      <c r="EX51" s="299"/>
      <c r="EY51" s="299"/>
      <c r="EZ51" s="299"/>
      <c r="FA51" s="299"/>
      <c r="FB51" s="299"/>
      <c r="FC51" s="299"/>
      <c r="FD51" s="299"/>
      <c r="FE51" s="299"/>
      <c r="FF51" s="299"/>
      <c r="FG51" s="299"/>
      <c r="FH51" s="299"/>
      <c r="FI51" s="299"/>
      <c r="FJ51" s="299"/>
      <c r="FK51" s="300"/>
    </row>
    <row r="52" spans="1:197" s="38" customFormat="1" ht="28.5" customHeight="1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10"/>
      <c r="AE52" s="279" t="s">
        <v>216</v>
      </c>
      <c r="AF52" s="280"/>
      <c r="AG52" s="280"/>
      <c r="AH52" s="280"/>
      <c r="AI52" s="280"/>
      <c r="AJ52" s="280"/>
      <c r="AK52" s="280"/>
      <c r="AL52" s="280"/>
      <c r="AM52" s="280"/>
      <c r="AN52" s="281"/>
      <c r="AO52" s="282" t="s">
        <v>216</v>
      </c>
      <c r="AP52" s="283"/>
      <c r="AQ52" s="283"/>
      <c r="AR52" s="283"/>
      <c r="AS52" s="283"/>
      <c r="AT52" s="283"/>
      <c r="AU52" s="283"/>
      <c r="AV52" s="283"/>
      <c r="AW52" s="283"/>
      <c r="AX52" s="284"/>
      <c r="AY52" s="285" t="s">
        <v>122</v>
      </c>
      <c r="AZ52" s="280"/>
      <c r="BA52" s="280"/>
      <c r="BB52" s="280"/>
      <c r="BC52" s="280"/>
      <c r="BD52" s="280"/>
      <c r="BE52" s="280"/>
      <c r="BF52" s="280"/>
      <c r="BG52" s="280"/>
      <c r="BH52" s="281"/>
      <c r="BI52" s="279"/>
      <c r="BJ52" s="280"/>
      <c r="BK52" s="280"/>
      <c r="BL52" s="280"/>
      <c r="BM52" s="280"/>
      <c r="BN52" s="280"/>
      <c r="BO52" s="280"/>
      <c r="BP52" s="280"/>
      <c r="BQ52" s="280"/>
      <c r="BR52" s="281"/>
      <c r="BS52" s="286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8"/>
      <c r="CN52" s="279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1"/>
      <c r="DB52" s="286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8"/>
      <c r="DP52" s="301">
        <v>3921802.45</v>
      </c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3"/>
      <c r="EN52" s="304">
        <v>3921802.45</v>
      </c>
      <c r="EO52" s="305"/>
      <c r="EP52" s="305"/>
      <c r="EQ52" s="305"/>
      <c r="ER52" s="305"/>
      <c r="ES52" s="305"/>
      <c r="ET52" s="305"/>
      <c r="EU52" s="305"/>
      <c r="EV52" s="305"/>
      <c r="EW52" s="305"/>
      <c r="EX52" s="305"/>
      <c r="EY52" s="305"/>
      <c r="EZ52" s="305"/>
      <c r="FA52" s="305"/>
      <c r="FB52" s="305"/>
      <c r="FC52" s="305"/>
      <c r="FD52" s="305"/>
      <c r="FE52" s="305"/>
      <c r="FF52" s="305"/>
      <c r="FG52" s="305"/>
      <c r="FH52" s="305"/>
      <c r="FI52" s="305"/>
      <c r="FJ52" s="305"/>
      <c r="FK52" s="306"/>
      <c r="GO52" s="134">
        <f>EN52+EN46+EN44</f>
        <v>19315802.45</v>
      </c>
    </row>
    <row r="53" spans="1:167" s="38" customFormat="1" ht="22.5" customHeight="1">
      <c r="A53" s="307" t="s">
        <v>596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8"/>
      <c r="AE53" s="289"/>
      <c r="AF53" s="290"/>
      <c r="AG53" s="290"/>
      <c r="AH53" s="290"/>
      <c r="AI53" s="290"/>
      <c r="AJ53" s="290"/>
      <c r="AK53" s="290"/>
      <c r="AL53" s="290"/>
      <c r="AM53" s="290"/>
      <c r="AN53" s="291"/>
      <c r="AO53" s="311">
        <v>244</v>
      </c>
      <c r="AP53" s="312"/>
      <c r="AQ53" s="312"/>
      <c r="AR53" s="312"/>
      <c r="AS53" s="312"/>
      <c r="AT53" s="312"/>
      <c r="AU53" s="312"/>
      <c r="AV53" s="312"/>
      <c r="AW53" s="312"/>
      <c r="AX53" s="313"/>
      <c r="AY53" s="289" t="s">
        <v>15</v>
      </c>
      <c r="AZ53" s="290"/>
      <c r="BA53" s="290"/>
      <c r="BB53" s="290"/>
      <c r="BC53" s="290"/>
      <c r="BD53" s="290"/>
      <c r="BE53" s="290"/>
      <c r="BF53" s="290"/>
      <c r="BG53" s="290"/>
      <c r="BH53" s="291"/>
      <c r="BI53" s="289" t="s">
        <v>15</v>
      </c>
      <c r="BJ53" s="290"/>
      <c r="BK53" s="290"/>
      <c r="BL53" s="290"/>
      <c r="BM53" s="290"/>
      <c r="BN53" s="290"/>
      <c r="BO53" s="290"/>
      <c r="BP53" s="290"/>
      <c r="BQ53" s="290"/>
      <c r="BR53" s="291"/>
      <c r="BS53" s="292" t="s">
        <v>15</v>
      </c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93"/>
      <c r="CG53" s="293"/>
      <c r="CH53" s="293"/>
      <c r="CI53" s="293"/>
      <c r="CJ53" s="293"/>
      <c r="CK53" s="293"/>
      <c r="CL53" s="293"/>
      <c r="CM53" s="294"/>
      <c r="CN53" s="289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1"/>
      <c r="DB53" s="292"/>
      <c r="DC53" s="293"/>
      <c r="DD53" s="293"/>
      <c r="DE53" s="293"/>
      <c r="DF53" s="293"/>
      <c r="DG53" s="293"/>
      <c r="DH53" s="293"/>
      <c r="DI53" s="293"/>
      <c r="DJ53" s="293"/>
      <c r="DK53" s="293"/>
      <c r="DL53" s="293"/>
      <c r="DM53" s="293"/>
      <c r="DN53" s="293"/>
      <c r="DO53" s="294"/>
      <c r="DP53" s="295">
        <v>2160000</v>
      </c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7"/>
      <c r="EN53" s="298" t="s">
        <v>15</v>
      </c>
      <c r="EO53" s="299"/>
      <c r="EP53" s="299"/>
      <c r="EQ53" s="299"/>
      <c r="ER53" s="299"/>
      <c r="ES53" s="299"/>
      <c r="ET53" s="299"/>
      <c r="EU53" s="299"/>
      <c r="EV53" s="299"/>
      <c r="EW53" s="299"/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300"/>
    </row>
    <row r="54" spans="1:167" s="38" customFormat="1" ht="28.5" customHeight="1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10"/>
      <c r="AE54" s="279" t="s">
        <v>15</v>
      </c>
      <c r="AF54" s="280"/>
      <c r="AG54" s="280"/>
      <c r="AH54" s="280"/>
      <c r="AI54" s="280"/>
      <c r="AJ54" s="280"/>
      <c r="AK54" s="280"/>
      <c r="AL54" s="280"/>
      <c r="AM54" s="280"/>
      <c r="AN54" s="281"/>
      <c r="AO54" s="282" t="s">
        <v>15</v>
      </c>
      <c r="AP54" s="283"/>
      <c r="AQ54" s="283"/>
      <c r="AR54" s="283"/>
      <c r="AS54" s="283"/>
      <c r="AT54" s="283"/>
      <c r="AU54" s="283"/>
      <c r="AV54" s="283"/>
      <c r="AW54" s="283"/>
      <c r="AX54" s="284"/>
      <c r="AY54" s="285" t="s">
        <v>121</v>
      </c>
      <c r="AZ54" s="280"/>
      <c r="BA54" s="280"/>
      <c r="BB54" s="280"/>
      <c r="BC54" s="280"/>
      <c r="BD54" s="280"/>
      <c r="BE54" s="280"/>
      <c r="BF54" s="280"/>
      <c r="BG54" s="280"/>
      <c r="BH54" s="281"/>
      <c r="BI54" s="279"/>
      <c r="BJ54" s="280"/>
      <c r="BK54" s="280"/>
      <c r="BL54" s="280"/>
      <c r="BM54" s="280"/>
      <c r="BN54" s="280"/>
      <c r="BO54" s="280"/>
      <c r="BP54" s="280"/>
      <c r="BQ54" s="280"/>
      <c r="BR54" s="281"/>
      <c r="BS54" s="286">
        <v>1080000</v>
      </c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8"/>
      <c r="CN54" s="279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1"/>
      <c r="DB54" s="286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8"/>
      <c r="DP54" s="301" t="s">
        <v>15</v>
      </c>
      <c r="DQ54" s="302"/>
      <c r="DR54" s="302"/>
      <c r="DS54" s="302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2"/>
      <c r="EL54" s="302"/>
      <c r="EM54" s="303"/>
      <c r="EN54" s="304">
        <f>1080000+2160000</f>
        <v>3240000</v>
      </c>
      <c r="EO54" s="305"/>
      <c r="EP54" s="305"/>
      <c r="EQ54" s="305"/>
      <c r="ER54" s="305"/>
      <c r="ES54" s="305"/>
      <c r="ET54" s="305"/>
      <c r="EU54" s="305"/>
      <c r="EV54" s="305"/>
      <c r="EW54" s="305"/>
      <c r="EX54" s="305"/>
      <c r="EY54" s="305"/>
      <c r="EZ54" s="305"/>
      <c r="FA54" s="305"/>
      <c r="FB54" s="305"/>
      <c r="FC54" s="305"/>
      <c r="FD54" s="305"/>
      <c r="FE54" s="305"/>
      <c r="FF54" s="305"/>
      <c r="FG54" s="305"/>
      <c r="FH54" s="305"/>
      <c r="FI54" s="305"/>
      <c r="FJ54" s="305"/>
      <c r="FK54" s="306"/>
    </row>
    <row r="55" spans="1:167" s="38" customFormat="1" ht="23.25" customHeight="1">
      <c r="A55" s="307" t="s">
        <v>592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8"/>
      <c r="AE55" s="289"/>
      <c r="AF55" s="290"/>
      <c r="AG55" s="290"/>
      <c r="AH55" s="290"/>
      <c r="AI55" s="290"/>
      <c r="AJ55" s="290"/>
      <c r="AK55" s="290"/>
      <c r="AL55" s="290"/>
      <c r="AM55" s="290"/>
      <c r="AN55" s="291"/>
      <c r="AO55" s="311">
        <v>244</v>
      </c>
      <c r="AP55" s="312"/>
      <c r="AQ55" s="312"/>
      <c r="AR55" s="312"/>
      <c r="AS55" s="312"/>
      <c r="AT55" s="312"/>
      <c r="AU55" s="312"/>
      <c r="AV55" s="312"/>
      <c r="AW55" s="312"/>
      <c r="AX55" s="313"/>
      <c r="AY55" s="289" t="s">
        <v>15</v>
      </c>
      <c r="AZ55" s="290"/>
      <c r="BA55" s="290"/>
      <c r="BB55" s="290"/>
      <c r="BC55" s="290"/>
      <c r="BD55" s="290"/>
      <c r="BE55" s="290"/>
      <c r="BF55" s="290"/>
      <c r="BG55" s="290"/>
      <c r="BH55" s="291"/>
      <c r="BI55" s="289" t="s">
        <v>15</v>
      </c>
      <c r="BJ55" s="290"/>
      <c r="BK55" s="290"/>
      <c r="BL55" s="290"/>
      <c r="BM55" s="290"/>
      <c r="BN55" s="290"/>
      <c r="BO55" s="290"/>
      <c r="BP55" s="290"/>
      <c r="BQ55" s="290"/>
      <c r="BR55" s="291"/>
      <c r="BS55" s="292" t="s">
        <v>15</v>
      </c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  <c r="CG55" s="293"/>
      <c r="CH55" s="293"/>
      <c r="CI55" s="293"/>
      <c r="CJ55" s="293"/>
      <c r="CK55" s="293"/>
      <c r="CL55" s="293"/>
      <c r="CM55" s="294"/>
      <c r="CN55" s="289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1"/>
      <c r="DB55" s="292"/>
      <c r="DC55" s="293"/>
      <c r="DD55" s="293"/>
      <c r="DE55" s="293"/>
      <c r="DF55" s="293"/>
      <c r="DG55" s="293"/>
      <c r="DH55" s="293"/>
      <c r="DI55" s="293"/>
      <c r="DJ55" s="293"/>
      <c r="DK55" s="293"/>
      <c r="DL55" s="293"/>
      <c r="DM55" s="293"/>
      <c r="DN55" s="293"/>
      <c r="DO55" s="294"/>
      <c r="DP55" s="295">
        <v>200000</v>
      </c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7"/>
      <c r="EN55" s="298" t="s">
        <v>15</v>
      </c>
      <c r="EO55" s="299"/>
      <c r="EP55" s="299"/>
      <c r="EQ55" s="299"/>
      <c r="ER55" s="299"/>
      <c r="ES55" s="299"/>
      <c r="ET55" s="299"/>
      <c r="EU55" s="299"/>
      <c r="EV55" s="299"/>
      <c r="EW55" s="299"/>
      <c r="EX55" s="299"/>
      <c r="EY55" s="299"/>
      <c r="EZ55" s="299"/>
      <c r="FA55" s="299"/>
      <c r="FB55" s="299"/>
      <c r="FC55" s="299"/>
      <c r="FD55" s="299"/>
      <c r="FE55" s="299"/>
      <c r="FF55" s="299"/>
      <c r="FG55" s="299"/>
      <c r="FH55" s="299"/>
      <c r="FI55" s="299"/>
      <c r="FJ55" s="299"/>
      <c r="FK55" s="300"/>
    </row>
    <row r="56" spans="1:167" s="38" customFormat="1" ht="23.25" customHeight="1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10"/>
      <c r="AE56" s="279" t="s">
        <v>15</v>
      </c>
      <c r="AF56" s="280"/>
      <c r="AG56" s="280"/>
      <c r="AH56" s="280"/>
      <c r="AI56" s="280"/>
      <c r="AJ56" s="280"/>
      <c r="AK56" s="280"/>
      <c r="AL56" s="280"/>
      <c r="AM56" s="280"/>
      <c r="AN56" s="281"/>
      <c r="AO56" s="282" t="s">
        <v>15</v>
      </c>
      <c r="AP56" s="283"/>
      <c r="AQ56" s="283"/>
      <c r="AR56" s="283"/>
      <c r="AS56" s="283"/>
      <c r="AT56" s="283"/>
      <c r="AU56" s="283"/>
      <c r="AV56" s="283"/>
      <c r="AW56" s="283"/>
      <c r="AX56" s="284"/>
      <c r="AY56" s="285" t="s">
        <v>123</v>
      </c>
      <c r="AZ56" s="280"/>
      <c r="BA56" s="280"/>
      <c r="BB56" s="280"/>
      <c r="BC56" s="280"/>
      <c r="BD56" s="280"/>
      <c r="BE56" s="280"/>
      <c r="BF56" s="280"/>
      <c r="BG56" s="280"/>
      <c r="BH56" s="281"/>
      <c r="BI56" s="279"/>
      <c r="BJ56" s="280"/>
      <c r="BK56" s="280"/>
      <c r="BL56" s="280"/>
      <c r="BM56" s="280"/>
      <c r="BN56" s="280"/>
      <c r="BO56" s="280"/>
      <c r="BP56" s="280"/>
      <c r="BQ56" s="280"/>
      <c r="BR56" s="281"/>
      <c r="BS56" s="286" t="s">
        <v>216</v>
      </c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8"/>
      <c r="CN56" s="279"/>
      <c r="CO56" s="280"/>
      <c r="CP56" s="280"/>
      <c r="CQ56" s="280"/>
      <c r="CR56" s="280"/>
      <c r="CS56" s="280"/>
      <c r="CT56" s="280"/>
      <c r="CU56" s="280"/>
      <c r="CV56" s="280"/>
      <c r="CW56" s="280"/>
      <c r="CX56" s="280"/>
      <c r="CY56" s="280"/>
      <c r="CZ56" s="280"/>
      <c r="DA56" s="281"/>
      <c r="DB56" s="286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8"/>
      <c r="DP56" s="301" t="s">
        <v>15</v>
      </c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3"/>
      <c r="EN56" s="304">
        <v>200000</v>
      </c>
      <c r="EO56" s="305"/>
      <c r="EP56" s="305"/>
      <c r="EQ56" s="305"/>
      <c r="ER56" s="305"/>
      <c r="ES56" s="305"/>
      <c r="ET56" s="305"/>
      <c r="EU56" s="305"/>
      <c r="EV56" s="305"/>
      <c r="EW56" s="305"/>
      <c r="EX56" s="305"/>
      <c r="EY56" s="305"/>
      <c r="EZ56" s="305"/>
      <c r="FA56" s="305"/>
      <c r="FB56" s="305"/>
      <c r="FC56" s="305"/>
      <c r="FD56" s="305"/>
      <c r="FE56" s="305"/>
      <c r="FF56" s="305"/>
      <c r="FG56" s="305"/>
      <c r="FH56" s="305"/>
      <c r="FI56" s="305"/>
      <c r="FJ56" s="305"/>
      <c r="FK56" s="306"/>
    </row>
    <row r="57" spans="69:167" s="47" customFormat="1" ht="12" customHeight="1">
      <c r="BQ57" s="48" t="s">
        <v>167</v>
      </c>
      <c r="BS57" s="326" t="e">
        <f>BS36+BS38+BS40+BS41+BS42+BS43+BS54+BS56+BS44</f>
        <v>#VALUE!</v>
      </c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7" t="s">
        <v>15</v>
      </c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6"/>
      <c r="DC57" s="326"/>
      <c r="DD57" s="326"/>
      <c r="DE57" s="326"/>
      <c r="DF57" s="326"/>
      <c r="DG57" s="326"/>
      <c r="DH57" s="326"/>
      <c r="DI57" s="326"/>
      <c r="DJ57" s="326"/>
      <c r="DK57" s="326"/>
      <c r="DL57" s="326"/>
      <c r="DM57" s="326"/>
      <c r="DN57" s="326"/>
      <c r="DO57" s="326"/>
      <c r="DP57" s="304">
        <f>SUM(DP35:EM56)</f>
        <v>22762402.45</v>
      </c>
      <c r="DQ57" s="305"/>
      <c r="DR57" s="305"/>
      <c r="DS57" s="305"/>
      <c r="DT57" s="305"/>
      <c r="DU57" s="305"/>
      <c r="DV57" s="305"/>
      <c r="DW57" s="305"/>
      <c r="DX57" s="305"/>
      <c r="DY57" s="305"/>
      <c r="DZ57" s="305"/>
      <c r="EA57" s="305"/>
      <c r="EB57" s="305"/>
      <c r="EC57" s="305"/>
      <c r="ED57" s="305"/>
      <c r="EE57" s="305"/>
      <c r="EF57" s="305"/>
      <c r="EG57" s="305"/>
      <c r="EH57" s="305"/>
      <c r="EI57" s="305"/>
      <c r="EJ57" s="305"/>
      <c r="EK57" s="305"/>
      <c r="EL57" s="305"/>
      <c r="EM57" s="306"/>
      <c r="EN57" s="304">
        <f>SUM(EN35:FK56)</f>
        <v>61267991.83</v>
      </c>
      <c r="EO57" s="305"/>
      <c r="EP57" s="305"/>
      <c r="EQ57" s="305"/>
      <c r="ER57" s="305"/>
      <c r="ES57" s="305"/>
      <c r="ET57" s="305"/>
      <c r="EU57" s="305"/>
      <c r="EV57" s="305"/>
      <c r="EW57" s="305"/>
      <c r="EX57" s="305"/>
      <c r="EY57" s="305"/>
      <c r="EZ57" s="305"/>
      <c r="FA57" s="305"/>
      <c r="FB57" s="305"/>
      <c r="FC57" s="305"/>
      <c r="FD57" s="305"/>
      <c r="FE57" s="305"/>
      <c r="FF57" s="305"/>
      <c r="FG57" s="305"/>
      <c r="FH57" s="305"/>
      <c r="FI57" s="305"/>
      <c r="FJ57" s="305"/>
      <c r="FK57" s="306"/>
    </row>
    <row r="58" ht="4.5" customHeight="1" thickBot="1"/>
    <row r="59" spans="150:167" s="38" customFormat="1" ht="10.5" customHeight="1">
      <c r="ET59" s="41"/>
      <c r="EU59" s="41"/>
      <c r="EX59" s="41" t="s">
        <v>168</v>
      </c>
      <c r="EZ59" s="332" t="s">
        <v>169</v>
      </c>
      <c r="FA59" s="333"/>
      <c r="FB59" s="333"/>
      <c r="FC59" s="333"/>
      <c r="FD59" s="333"/>
      <c r="FE59" s="333"/>
      <c r="FF59" s="333"/>
      <c r="FG59" s="333"/>
      <c r="FH59" s="333"/>
      <c r="FI59" s="333"/>
      <c r="FJ59" s="333"/>
      <c r="FK59" s="334"/>
    </row>
    <row r="60" spans="1:167" s="38" customFormat="1" ht="10.5" customHeight="1" thickBot="1">
      <c r="A60" s="38" t="s">
        <v>312</v>
      </c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H60" s="316" t="s">
        <v>313</v>
      </c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ET60" s="41"/>
      <c r="EU60" s="41"/>
      <c r="EW60" s="47"/>
      <c r="EX60" s="41" t="s">
        <v>170</v>
      </c>
      <c r="EZ60" s="323">
        <v>1</v>
      </c>
      <c r="FA60" s="324"/>
      <c r="FB60" s="324"/>
      <c r="FC60" s="324"/>
      <c r="FD60" s="324"/>
      <c r="FE60" s="324"/>
      <c r="FF60" s="324"/>
      <c r="FG60" s="324"/>
      <c r="FH60" s="324"/>
      <c r="FI60" s="324"/>
      <c r="FJ60" s="324"/>
      <c r="FK60" s="325"/>
    </row>
    <row r="61" spans="14:58" s="37" customFormat="1" ht="10.5" customHeight="1" thickBot="1">
      <c r="N61" s="322" t="s">
        <v>7</v>
      </c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H61" s="321" t="s">
        <v>8</v>
      </c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1"/>
      <c r="BE61" s="321"/>
      <c r="BF61" s="321"/>
    </row>
    <row r="62" spans="1:167" ht="10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X62" s="328" t="s">
        <v>171</v>
      </c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29"/>
      <c r="CM62" s="329"/>
      <c r="CN62" s="329"/>
      <c r="CO62" s="329"/>
      <c r="CP62" s="329"/>
      <c r="CQ62" s="329"/>
      <c r="CR62" s="329"/>
      <c r="CS62" s="329"/>
      <c r="CT62" s="329"/>
      <c r="CU62" s="329"/>
      <c r="CV62" s="329"/>
      <c r="CW62" s="329"/>
      <c r="CX62" s="329"/>
      <c r="CY62" s="329"/>
      <c r="CZ62" s="329"/>
      <c r="DA62" s="329"/>
      <c r="DB62" s="329"/>
      <c r="DC62" s="329"/>
      <c r="DD62" s="329"/>
      <c r="DE62" s="329"/>
      <c r="DF62" s="329"/>
      <c r="DG62" s="329"/>
      <c r="DH62" s="329"/>
      <c r="DI62" s="329"/>
      <c r="DJ62" s="329"/>
      <c r="DK62" s="329"/>
      <c r="DL62" s="329"/>
      <c r="DM62" s="329"/>
      <c r="DN62" s="329"/>
      <c r="DO62" s="329"/>
      <c r="DP62" s="329"/>
      <c r="DQ62" s="329"/>
      <c r="DR62" s="329"/>
      <c r="DS62" s="329"/>
      <c r="DT62" s="329"/>
      <c r="DU62" s="329"/>
      <c r="DV62" s="329"/>
      <c r="DW62" s="329"/>
      <c r="DX62" s="329"/>
      <c r="DY62" s="329"/>
      <c r="DZ62" s="329"/>
      <c r="EA62" s="329"/>
      <c r="EB62" s="329"/>
      <c r="EC62" s="329"/>
      <c r="ED62" s="329"/>
      <c r="EE62" s="329"/>
      <c r="EF62" s="329"/>
      <c r="EG62" s="329"/>
      <c r="EH62" s="329"/>
      <c r="EI62" s="329"/>
      <c r="EJ62" s="329"/>
      <c r="EK62" s="329"/>
      <c r="EL62" s="329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6"/>
    </row>
    <row r="63" spans="1:167" ht="10.5" customHeight="1">
      <c r="A63" s="38" t="s">
        <v>172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X63" s="330" t="s">
        <v>173</v>
      </c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1"/>
      <c r="DJ63" s="331"/>
      <c r="DK63" s="331"/>
      <c r="DL63" s="331"/>
      <c r="DM63" s="331"/>
      <c r="DN63" s="331"/>
      <c r="DO63" s="331"/>
      <c r="DP63" s="331"/>
      <c r="DQ63" s="331"/>
      <c r="DR63" s="331"/>
      <c r="DS63" s="331"/>
      <c r="DT63" s="331"/>
      <c r="DU63" s="331"/>
      <c r="DV63" s="331"/>
      <c r="DW63" s="331"/>
      <c r="DX63" s="331"/>
      <c r="DY63" s="331"/>
      <c r="DZ63" s="331"/>
      <c r="EA63" s="331"/>
      <c r="EB63" s="331"/>
      <c r="EC63" s="331"/>
      <c r="ED63" s="331"/>
      <c r="EE63" s="331"/>
      <c r="EF63" s="331"/>
      <c r="EG63" s="331"/>
      <c r="EH63" s="331"/>
      <c r="EI63" s="331"/>
      <c r="EJ63" s="331"/>
      <c r="EK63" s="331"/>
      <c r="EL63" s="331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8"/>
    </row>
    <row r="64" spans="1:167" ht="10.5" customHeight="1">
      <c r="A64" s="38" t="s">
        <v>174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X64" s="69"/>
      <c r="BY64" s="38" t="s">
        <v>175</v>
      </c>
      <c r="CL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70"/>
    </row>
    <row r="65" spans="14:167" ht="10.5" customHeight="1">
      <c r="N65" s="322" t="s">
        <v>7</v>
      </c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H65" s="321" t="s">
        <v>8</v>
      </c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1"/>
      <c r="BX65" s="69"/>
      <c r="BY65" s="38" t="s">
        <v>176</v>
      </c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Z65" s="316"/>
      <c r="DA65" s="316"/>
      <c r="DB65" s="316"/>
      <c r="DC65" s="316"/>
      <c r="DD65" s="316"/>
      <c r="DE65" s="316"/>
      <c r="DF65" s="316"/>
      <c r="DG65" s="316"/>
      <c r="DH65" s="316"/>
      <c r="DJ65" s="316"/>
      <c r="DK65" s="316"/>
      <c r="DL65" s="316"/>
      <c r="DM65" s="316"/>
      <c r="DN65" s="316"/>
      <c r="DO65" s="316"/>
      <c r="DP65" s="316"/>
      <c r="DQ65" s="316"/>
      <c r="DR65" s="316"/>
      <c r="DS65" s="316"/>
      <c r="DT65" s="316"/>
      <c r="DU65" s="316"/>
      <c r="DV65" s="316"/>
      <c r="DW65" s="316"/>
      <c r="DX65" s="316"/>
      <c r="DY65" s="316"/>
      <c r="DZ65" s="316"/>
      <c r="EA65" s="316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FJ65" s="38"/>
      <c r="FK65" s="70"/>
    </row>
    <row r="66" spans="1:167" ht="10.5" customHeight="1">
      <c r="A66" s="38" t="s">
        <v>175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X66" s="69"/>
      <c r="CL66" s="319" t="s">
        <v>177</v>
      </c>
      <c r="CM66" s="319"/>
      <c r="CN66" s="319"/>
      <c r="CO66" s="319"/>
      <c r="CP66" s="319"/>
      <c r="CQ66" s="319"/>
      <c r="CR66" s="319"/>
      <c r="CS66" s="319"/>
      <c r="CT66" s="319"/>
      <c r="CU66" s="319"/>
      <c r="CV66" s="319"/>
      <c r="CW66" s="319"/>
      <c r="CX66" s="319"/>
      <c r="CZ66" s="319" t="s">
        <v>7</v>
      </c>
      <c r="DA66" s="319"/>
      <c r="DB66" s="319"/>
      <c r="DC66" s="319"/>
      <c r="DD66" s="319"/>
      <c r="DE66" s="319"/>
      <c r="DF66" s="319"/>
      <c r="DG66" s="319"/>
      <c r="DH66" s="319"/>
      <c r="DJ66" s="319" t="s">
        <v>8</v>
      </c>
      <c r="DK66" s="319"/>
      <c r="DL66" s="319"/>
      <c r="DM66" s="319"/>
      <c r="DN66" s="319"/>
      <c r="DO66" s="319"/>
      <c r="DP66" s="319"/>
      <c r="DQ66" s="319"/>
      <c r="DR66" s="319"/>
      <c r="DS66" s="319"/>
      <c r="DT66" s="319"/>
      <c r="DU66" s="319"/>
      <c r="DV66" s="319"/>
      <c r="DW66" s="319"/>
      <c r="DX66" s="319"/>
      <c r="DY66" s="319"/>
      <c r="DZ66" s="319"/>
      <c r="EA66" s="319"/>
      <c r="EC66" s="319" t="s">
        <v>178</v>
      </c>
      <c r="ED66" s="319"/>
      <c r="EE66" s="319"/>
      <c r="EF66" s="319"/>
      <c r="EG66" s="319"/>
      <c r="EH66" s="319"/>
      <c r="EI66" s="319"/>
      <c r="EJ66" s="319"/>
      <c r="EK66" s="319"/>
      <c r="EL66" s="319"/>
      <c r="FJ66" s="71"/>
      <c r="FK66" s="70"/>
    </row>
    <row r="67" spans="1:167" ht="10.5" customHeight="1">
      <c r="A67" s="38" t="s">
        <v>176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X67" s="69"/>
      <c r="BY67" s="317" t="s">
        <v>2</v>
      </c>
      <c r="BZ67" s="317"/>
      <c r="CA67" s="314"/>
      <c r="CB67" s="314"/>
      <c r="CC67" s="314"/>
      <c r="CD67" s="314"/>
      <c r="CE67" s="314"/>
      <c r="CF67" s="315" t="s">
        <v>2</v>
      </c>
      <c r="CG67" s="315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7">
        <v>20</v>
      </c>
      <c r="DF67" s="317"/>
      <c r="DG67" s="317"/>
      <c r="DH67" s="317"/>
      <c r="DI67" s="318"/>
      <c r="DJ67" s="318"/>
      <c r="DK67" s="318"/>
      <c r="DL67" s="315" t="s">
        <v>3</v>
      </c>
      <c r="DM67" s="315"/>
      <c r="DN67" s="315"/>
      <c r="ED67" s="38"/>
      <c r="EE67" s="38"/>
      <c r="EF67" s="38"/>
      <c r="EG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70"/>
    </row>
    <row r="68" spans="14:167" s="37" customFormat="1" ht="9.75" customHeight="1" thickBot="1">
      <c r="N68" s="319" t="s">
        <v>177</v>
      </c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D68" s="319" t="s">
        <v>7</v>
      </c>
      <c r="AE68" s="319"/>
      <c r="AF68" s="319"/>
      <c r="AG68" s="319"/>
      <c r="AH68" s="319"/>
      <c r="AI68" s="319"/>
      <c r="AJ68" s="319"/>
      <c r="AK68" s="319"/>
      <c r="AL68" s="319"/>
      <c r="AM68" s="319"/>
      <c r="AO68" s="319" t="s">
        <v>8</v>
      </c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H68" s="320" t="s">
        <v>178</v>
      </c>
      <c r="BI68" s="320"/>
      <c r="BJ68" s="320"/>
      <c r="BK68" s="320"/>
      <c r="BL68" s="320"/>
      <c r="BM68" s="320"/>
      <c r="BN68" s="320"/>
      <c r="BO68" s="320"/>
      <c r="BP68" s="320"/>
      <c r="BQ68" s="320"/>
      <c r="BR68" s="320"/>
      <c r="BS68" s="320"/>
      <c r="BT68" s="320"/>
      <c r="BU68" s="320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4"/>
    </row>
    <row r="69" spans="1:42" s="38" customFormat="1" ht="10.5" customHeight="1">
      <c r="A69" s="317" t="s">
        <v>2</v>
      </c>
      <c r="B69" s="317"/>
      <c r="C69" s="314"/>
      <c r="D69" s="314"/>
      <c r="E69" s="314"/>
      <c r="F69" s="314"/>
      <c r="G69" s="314"/>
      <c r="H69" s="315" t="s">
        <v>2</v>
      </c>
      <c r="I69" s="315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7">
        <v>20</v>
      </c>
      <c r="AH69" s="317"/>
      <c r="AI69" s="317"/>
      <c r="AJ69" s="317"/>
      <c r="AK69" s="318"/>
      <c r="AL69" s="318"/>
      <c r="AM69" s="318"/>
      <c r="AN69" s="315" t="s">
        <v>3</v>
      </c>
      <c r="AO69" s="315"/>
      <c r="AP69" s="315"/>
    </row>
    <row r="70" s="38" customFormat="1" ht="3" customHeight="1"/>
  </sheetData>
  <sheetProtection/>
  <mergeCells count="321">
    <mergeCell ref="AE50:AN50"/>
    <mergeCell ref="AO50:AX50"/>
    <mergeCell ref="AY50:BH50"/>
    <mergeCell ref="BI50:BR50"/>
    <mergeCell ref="BS50:CM50"/>
    <mergeCell ref="CN50:DA50"/>
    <mergeCell ref="DB50:DO50"/>
    <mergeCell ref="DB49:DO49"/>
    <mergeCell ref="DP49:EM49"/>
    <mergeCell ref="EN49:FK49"/>
    <mergeCell ref="DP50:EM50"/>
    <mergeCell ref="EN50:FK50"/>
    <mergeCell ref="CN48:DA48"/>
    <mergeCell ref="A49:AD50"/>
    <mergeCell ref="AE49:AN49"/>
    <mergeCell ref="AO49:AX49"/>
    <mergeCell ref="AY49:BH49"/>
    <mergeCell ref="BI49:BR49"/>
    <mergeCell ref="BS49:CM49"/>
    <mergeCell ref="CN49:DA49"/>
    <mergeCell ref="A47:AD48"/>
    <mergeCell ref="AE47:AN47"/>
    <mergeCell ref="CN47:DA47"/>
    <mergeCell ref="A45:AD46"/>
    <mergeCell ref="DB48:DO48"/>
    <mergeCell ref="DB47:DO47"/>
    <mergeCell ref="DP47:EM47"/>
    <mergeCell ref="EN47:FK47"/>
    <mergeCell ref="DP48:EM48"/>
    <mergeCell ref="EN48:FK48"/>
    <mergeCell ref="AE48:AN48"/>
    <mergeCell ref="AO48:AX48"/>
    <mergeCell ref="AO47:AX47"/>
    <mergeCell ref="AY47:BH47"/>
    <mergeCell ref="BI47:BR47"/>
    <mergeCell ref="BS47:CM47"/>
    <mergeCell ref="AY48:BH48"/>
    <mergeCell ref="BI48:BR48"/>
    <mergeCell ref="BS48:CM48"/>
    <mergeCell ref="CN45:DA45"/>
    <mergeCell ref="DB45:DO45"/>
    <mergeCell ref="DP45:EM45"/>
    <mergeCell ref="EN45:FK45"/>
    <mergeCell ref="DB46:DO46"/>
    <mergeCell ref="DP46:EM46"/>
    <mergeCell ref="EN46:FK46"/>
    <mergeCell ref="CN46:DA46"/>
    <mergeCell ref="AE45:AN45"/>
    <mergeCell ref="AO45:AX45"/>
    <mergeCell ref="AY45:BH45"/>
    <mergeCell ref="BI45:BR45"/>
    <mergeCell ref="BS45:CM45"/>
    <mergeCell ref="AE46:AN46"/>
    <mergeCell ref="AO46:AX46"/>
    <mergeCell ref="AY46:BH46"/>
    <mergeCell ref="BI46:BR46"/>
    <mergeCell ref="BS46:CM46"/>
    <mergeCell ref="DP36:EM36"/>
    <mergeCell ref="EN36:FK36"/>
    <mergeCell ref="A53:AD54"/>
    <mergeCell ref="AE40:AN40"/>
    <mergeCell ref="AO40:AX40"/>
    <mergeCell ref="AY40:BH40"/>
    <mergeCell ref="BI40:BR40"/>
    <mergeCell ref="BS40:CM40"/>
    <mergeCell ref="CN40:DA40"/>
    <mergeCell ref="DB40:DO40"/>
    <mergeCell ref="DB35:DO35"/>
    <mergeCell ref="DP35:EM35"/>
    <mergeCell ref="EN35:FK35"/>
    <mergeCell ref="AE36:AN36"/>
    <mergeCell ref="AO36:AX36"/>
    <mergeCell ref="AY36:BH36"/>
    <mergeCell ref="BI36:BR36"/>
    <mergeCell ref="BS36:CM36"/>
    <mergeCell ref="CN36:DA36"/>
    <mergeCell ref="DB36:DO36"/>
    <mergeCell ref="A35:AD36"/>
    <mergeCell ref="AE35:AN35"/>
    <mergeCell ref="AO35:AX35"/>
    <mergeCell ref="AY35:BH35"/>
    <mergeCell ref="BI35:BR35"/>
    <mergeCell ref="BS35:CM35"/>
    <mergeCell ref="CN35:DA35"/>
    <mergeCell ref="DP40:EM40"/>
    <mergeCell ref="EN40:FK40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AE43:AN43"/>
    <mergeCell ref="AO43:AX43"/>
    <mergeCell ref="AY43:BH43"/>
    <mergeCell ref="BI43:BR43"/>
    <mergeCell ref="BS43:CM43"/>
    <mergeCell ref="CN43:DA43"/>
    <mergeCell ref="EN53:FK53"/>
    <mergeCell ref="AE54:AN54"/>
    <mergeCell ref="AO54:AX54"/>
    <mergeCell ref="AY54:BH54"/>
    <mergeCell ref="BI54:BR54"/>
    <mergeCell ref="BS54:CM54"/>
    <mergeCell ref="CN54:DA54"/>
    <mergeCell ref="DB54:DO54"/>
    <mergeCell ref="DP54:EM54"/>
    <mergeCell ref="DB53:DO53"/>
    <mergeCell ref="DP44:EM44"/>
    <mergeCell ref="EN44:FK44"/>
    <mergeCell ref="DB39:DO39"/>
    <mergeCell ref="DP39:EM39"/>
    <mergeCell ref="EN39:FK39"/>
    <mergeCell ref="DB44:DO44"/>
    <mergeCell ref="EN41:FK41"/>
    <mergeCell ref="DB43:DO43"/>
    <mergeCell ref="DP43:EM43"/>
    <mergeCell ref="EN43:FK43"/>
    <mergeCell ref="EN54:FK54"/>
    <mergeCell ref="DP53:EM53"/>
    <mergeCell ref="AE44:AN44"/>
    <mergeCell ref="AO44:AX44"/>
    <mergeCell ref="AY44:BH44"/>
    <mergeCell ref="BI44:BR44"/>
    <mergeCell ref="BS44:CM44"/>
    <mergeCell ref="CN44:DA44"/>
    <mergeCell ref="AE53:AN53"/>
    <mergeCell ref="AO53:AX53"/>
    <mergeCell ref="DB38:DO38"/>
    <mergeCell ref="DP38:EM38"/>
    <mergeCell ref="EN38:FK38"/>
    <mergeCell ref="A39:AD44"/>
    <mergeCell ref="AE39:AN39"/>
    <mergeCell ref="AO39:AX39"/>
    <mergeCell ref="AY39:BH39"/>
    <mergeCell ref="BI39:BR39"/>
    <mergeCell ref="BS39:CM39"/>
    <mergeCell ref="CN39:DA39"/>
    <mergeCell ref="CN37:DA37"/>
    <mergeCell ref="DB37:DO37"/>
    <mergeCell ref="DP37:EM37"/>
    <mergeCell ref="EN37:FK37"/>
    <mergeCell ref="AE38:AN38"/>
    <mergeCell ref="AO38:AX38"/>
    <mergeCell ref="AY38:BH38"/>
    <mergeCell ref="BI38:BR38"/>
    <mergeCell ref="BS38:CM38"/>
    <mergeCell ref="CN38:DA38"/>
    <mergeCell ref="A37:AD38"/>
    <mergeCell ref="AE37:AN37"/>
    <mergeCell ref="AO37:AX37"/>
    <mergeCell ref="AY37:BH37"/>
    <mergeCell ref="BI37:BR37"/>
    <mergeCell ref="BS37:CM37"/>
    <mergeCell ref="BP6:FK6"/>
    <mergeCell ref="BP7:CK7"/>
    <mergeCell ref="DY7:FK7"/>
    <mergeCell ref="BP8:CK8"/>
    <mergeCell ref="DY8:FK8"/>
    <mergeCell ref="BP2:FK2"/>
    <mergeCell ref="BP3:FK3"/>
    <mergeCell ref="BP4:FK4"/>
    <mergeCell ref="BP5:FK5"/>
    <mergeCell ref="CY9:DA9"/>
    <mergeCell ref="DB9:DD9"/>
    <mergeCell ref="B10:EX10"/>
    <mergeCell ref="EJ11:EM11"/>
    <mergeCell ref="BQ9:BU9"/>
    <mergeCell ref="BV9:BW9"/>
    <mergeCell ref="BX9:CT9"/>
    <mergeCell ref="CU9:CX9"/>
    <mergeCell ref="EZ11:FK11"/>
    <mergeCell ref="EZ12:FK12"/>
    <mergeCell ref="AR13:AV13"/>
    <mergeCell ref="AW13:AX13"/>
    <mergeCell ref="AY13:BU13"/>
    <mergeCell ref="BV13:BY13"/>
    <mergeCell ref="BZ13:CB13"/>
    <mergeCell ref="CC13:CE13"/>
    <mergeCell ref="EZ13:FK13"/>
    <mergeCell ref="AO19:EL19"/>
    <mergeCell ref="EZ19:FK19"/>
    <mergeCell ref="AO20:EL21"/>
    <mergeCell ref="EZ20:FK20"/>
    <mergeCell ref="EZ21:FK21"/>
    <mergeCell ref="AO14:EL15"/>
    <mergeCell ref="EZ14:FK15"/>
    <mergeCell ref="EZ16:FK18"/>
    <mergeCell ref="AY17:BZ18"/>
    <mergeCell ref="BI29:CM29"/>
    <mergeCell ref="CN29:DO32"/>
    <mergeCell ref="DP29:FK32"/>
    <mergeCell ref="BI30:CM30"/>
    <mergeCell ref="AO22:EL23"/>
    <mergeCell ref="EZ22:FK23"/>
    <mergeCell ref="EZ24:FK24"/>
    <mergeCell ref="L25:AV25"/>
    <mergeCell ref="EZ25:FK25"/>
    <mergeCell ref="CB31:CD31"/>
    <mergeCell ref="BI33:BR33"/>
    <mergeCell ref="BS33:CM33"/>
    <mergeCell ref="CN33:DA33"/>
    <mergeCell ref="L26:AV26"/>
    <mergeCell ref="EN27:FK27"/>
    <mergeCell ref="A29:AD33"/>
    <mergeCell ref="AE29:AN33"/>
    <mergeCell ref="AO29:AX33"/>
    <mergeCell ref="AY29:BH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CN34:DA34"/>
    <mergeCell ref="EN34:FK34"/>
    <mergeCell ref="DB34:DO34"/>
    <mergeCell ref="DP34:EM34"/>
    <mergeCell ref="EN56:FK56"/>
    <mergeCell ref="DP55:EM55"/>
    <mergeCell ref="A55:AD56"/>
    <mergeCell ref="AE55:AN55"/>
    <mergeCell ref="AO55:AX55"/>
    <mergeCell ref="AY55:BH55"/>
    <mergeCell ref="BI55:BR55"/>
    <mergeCell ref="BS55:CM55"/>
    <mergeCell ref="CN55:DA55"/>
    <mergeCell ref="DB55:DO55"/>
    <mergeCell ref="DP57:EM57"/>
    <mergeCell ref="EN55:FK55"/>
    <mergeCell ref="AE56:AN56"/>
    <mergeCell ref="AO56:AX56"/>
    <mergeCell ref="AY56:BH56"/>
    <mergeCell ref="BI56:BR56"/>
    <mergeCell ref="BS56:CM56"/>
    <mergeCell ref="CN56:DA56"/>
    <mergeCell ref="DB56:DO56"/>
    <mergeCell ref="DP56:EM56"/>
    <mergeCell ref="BX62:EL62"/>
    <mergeCell ref="BX63:EL63"/>
    <mergeCell ref="EN57:FK57"/>
    <mergeCell ref="EZ59:FK59"/>
    <mergeCell ref="N60:AF60"/>
    <mergeCell ref="AH60:BF60"/>
    <mergeCell ref="EZ60:FK60"/>
    <mergeCell ref="BS57:CM57"/>
    <mergeCell ref="CN57:DA57"/>
    <mergeCell ref="DE67:DH67"/>
    <mergeCell ref="DB57:DO57"/>
    <mergeCell ref="N64:AF64"/>
    <mergeCell ref="AH64:BF64"/>
    <mergeCell ref="N65:AF65"/>
    <mergeCell ref="AH65:BF65"/>
    <mergeCell ref="N61:AF61"/>
    <mergeCell ref="AH61:BF61"/>
    <mergeCell ref="EC66:EL66"/>
    <mergeCell ref="CL65:CX65"/>
    <mergeCell ref="CZ65:DH65"/>
    <mergeCell ref="DJ65:EA65"/>
    <mergeCell ref="EC65:EL65"/>
    <mergeCell ref="CL66:CX66"/>
    <mergeCell ref="CZ66:DH66"/>
    <mergeCell ref="N67:AB67"/>
    <mergeCell ref="AD67:AM67"/>
    <mergeCell ref="DJ66:EA66"/>
    <mergeCell ref="DI67:DK67"/>
    <mergeCell ref="DL67:DN67"/>
    <mergeCell ref="N68:AB68"/>
    <mergeCell ref="AD68:AM68"/>
    <mergeCell ref="AO68:BF68"/>
    <mergeCell ref="BH68:BU68"/>
    <mergeCell ref="BY67:BZ67"/>
    <mergeCell ref="A69:B69"/>
    <mergeCell ref="C69:G69"/>
    <mergeCell ref="H69:I69"/>
    <mergeCell ref="J69:AF69"/>
    <mergeCell ref="AG69:AJ69"/>
    <mergeCell ref="AK69:AM69"/>
    <mergeCell ref="AY53:BH53"/>
    <mergeCell ref="BI53:BR53"/>
    <mergeCell ref="BS53:CM53"/>
    <mergeCell ref="CN53:DA53"/>
    <mergeCell ref="BH67:BU67"/>
    <mergeCell ref="AN69:AP69"/>
    <mergeCell ref="CA67:CE67"/>
    <mergeCell ref="AO67:BF67"/>
    <mergeCell ref="CF67:CG67"/>
    <mergeCell ref="CH67:DD67"/>
    <mergeCell ref="A51:AD52"/>
    <mergeCell ref="AE51:AN51"/>
    <mergeCell ref="AO51:AX51"/>
    <mergeCell ref="AY51:BH51"/>
    <mergeCell ref="BI51:BR51"/>
    <mergeCell ref="BS51:CM51"/>
    <mergeCell ref="CN51:DA51"/>
    <mergeCell ref="DB51:DO51"/>
    <mergeCell ref="DP51:EM51"/>
    <mergeCell ref="EN51:FK51"/>
    <mergeCell ref="DB52:DO52"/>
    <mergeCell ref="DP52:EM52"/>
    <mergeCell ref="EN52:FK52"/>
    <mergeCell ref="AE52:AN52"/>
    <mergeCell ref="AO52:AX52"/>
    <mergeCell ref="AY52:BH52"/>
    <mergeCell ref="BI52:BR52"/>
    <mergeCell ref="BS52:CM52"/>
    <mergeCell ref="CN52:DA52"/>
  </mergeCells>
  <printOptions/>
  <pageMargins left="0.3937007874015748" right="0.31496062992125984" top="0.1968503937007874" bottom="0.15748031496062992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Москаленко</cp:lastModifiedBy>
  <cp:lastPrinted>2018-03-21T09:03:08Z</cp:lastPrinted>
  <dcterms:created xsi:type="dcterms:W3CDTF">2010-11-26T07:12:57Z</dcterms:created>
  <dcterms:modified xsi:type="dcterms:W3CDTF">2018-03-29T14:52:26Z</dcterms:modified>
  <cp:category/>
  <cp:version/>
  <cp:contentType/>
  <cp:contentStatus/>
</cp:coreProperties>
</file>